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ieseArbeitsmappe"/>
  <mc:AlternateContent xmlns:mc="http://schemas.openxmlformats.org/markup-compatibility/2006">
    <mc:Choice Requires="x15">
      <x15ac:absPath xmlns:x15ac="http://schemas.microsoft.com/office/spreadsheetml/2010/11/ac" url="Z:\EU-Variation-Fee-Calculator\published\2026-02-18\"/>
    </mc:Choice>
  </mc:AlternateContent>
  <xr:revisionPtr revIDLastSave="0" documentId="13_ncr:1_{2153E8DF-88CF-48F7-B5A5-E71BE2BE87CD}" xr6:coauthVersionLast="47" xr6:coauthVersionMax="47" xr10:uidLastSave="{00000000-0000-0000-0000-000000000000}"/>
  <workbookProtection workbookPassword="8C62" lockStructure="1"/>
  <bookViews>
    <workbookView xWindow="-103" yWindow="-103" windowWidth="22149" windowHeight="13200" tabRatio="785" xr2:uid="{00000000-000D-0000-FFFF-FFFF00000000}"/>
  </bookViews>
  <sheets>
    <sheet name="Variation fee calculator" sheetId="1" r:id="rId1"/>
    <sheet name="National currencies" sheetId="6" r:id="rId2"/>
    <sheet name="Exchange rates" sheetId="12" r:id="rId3"/>
    <sheet name="HA fee websites" sheetId="5" r:id="rId4"/>
    <sheet name="DK" sheetId="11" r:id="rId5"/>
    <sheet name="ES" sheetId="13" r:id="rId6"/>
    <sheet name="FR" sheetId="16" r:id="rId7"/>
    <sheet name="IE" sheetId="15" r:id="rId8"/>
    <sheet name="IT" sheetId="14" r:id="rId9"/>
    <sheet name="LT" sheetId="8" r:id="rId10"/>
    <sheet name="PL" sheetId="9" r:id="rId11"/>
    <sheet name="PT" sheetId="3" r:id="rId12"/>
    <sheet name="Imprint" sheetId="10" r:id="rId13"/>
  </sheets>
  <definedNames>
    <definedName name="_FilterDatabase" localSheetId="1" hidden="1">'National currencies'!$F$3:$J$403</definedName>
    <definedName name="_FilterDatabase" localSheetId="0" hidden="1">'Variation fee calculator'!$A$3:$S$418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6" l="1"/>
  <c r="I64" i="6"/>
  <c r="H65" i="6"/>
  <c r="H64" i="6"/>
  <c r="H63" i="6"/>
  <c r="J65" i="6"/>
  <c r="J62" i="6"/>
  <c r="J59" i="6"/>
  <c r="H62" i="6"/>
  <c r="H61" i="6"/>
  <c r="H60" i="6"/>
  <c r="I62" i="6"/>
  <c r="I61" i="6"/>
  <c r="I59" i="6"/>
  <c r="I58" i="6"/>
  <c r="H59" i="6"/>
  <c r="H58" i="6"/>
  <c r="H57" i="6"/>
  <c r="J44" i="6"/>
  <c r="I44" i="6"/>
  <c r="I43" i="6"/>
  <c r="H44" i="6"/>
  <c r="H43" i="6"/>
  <c r="H42" i="6"/>
  <c r="J41" i="6"/>
  <c r="I41" i="6"/>
  <c r="I40" i="6"/>
  <c r="H41" i="6"/>
  <c r="H40" i="6"/>
  <c r="H39" i="6"/>
  <c r="J47" i="6"/>
  <c r="I47" i="6"/>
  <c r="I46" i="6"/>
  <c r="H47" i="6"/>
  <c r="H46" i="6"/>
  <c r="H45" i="6"/>
  <c r="O375" i="1"/>
  <c r="R375" i="1" s="1"/>
  <c r="N375" i="1"/>
  <c r="Q375" i="1" s="1"/>
  <c r="M375" i="1"/>
  <c r="P375" i="1" s="1"/>
  <c r="O371" i="1"/>
  <c r="S371" i="1" s="1"/>
  <c r="N371" i="1"/>
  <c r="M371" i="1"/>
  <c r="P371" i="1" s="1"/>
  <c r="O367" i="1"/>
  <c r="R367" i="1" s="1"/>
  <c r="N367" i="1"/>
  <c r="M367" i="1"/>
  <c r="P367" i="1" s="1"/>
  <c r="Q371" i="1"/>
  <c r="Q367" i="1"/>
  <c r="R371" i="1"/>
  <c r="H371" i="1"/>
  <c r="I371" i="1"/>
  <c r="H367" i="1"/>
  <c r="I367" i="1"/>
  <c r="D367" i="1"/>
  <c r="D371" i="1"/>
  <c r="D375" i="1"/>
  <c r="E375" i="1"/>
  <c r="H375" i="1"/>
  <c r="I375" i="1"/>
  <c r="J301" i="6"/>
  <c r="J300" i="6"/>
  <c r="S230" i="1"/>
  <c r="S229" i="1"/>
  <c r="S228" i="1"/>
  <c r="S227" i="1"/>
  <c r="S226" i="1"/>
  <c r="S225" i="1"/>
  <c r="S224" i="1"/>
  <c r="S223" i="1"/>
  <c r="S222" i="1"/>
  <c r="S221" i="1"/>
  <c r="S220" i="1"/>
  <c r="S219" i="1"/>
  <c r="S218" i="1"/>
  <c r="S217" i="1"/>
  <c r="S216" i="1"/>
  <c r="S215" i="1"/>
  <c r="S214" i="1"/>
  <c r="S213" i="1"/>
  <c r="F216" i="6"/>
  <c r="F214" i="6"/>
  <c r="F215" i="6"/>
  <c r="S367" i="1" l="1"/>
  <c r="S375" i="1"/>
  <c r="J175" i="6"/>
  <c r="J174" i="6"/>
  <c r="I175" i="6"/>
  <c r="I174" i="6"/>
  <c r="I172" i="6"/>
  <c r="J170" i="6"/>
  <c r="J169" i="6"/>
  <c r="I170" i="6"/>
  <c r="I169" i="6"/>
  <c r="I167" i="6"/>
  <c r="F163" i="6"/>
  <c r="F162" i="6"/>
  <c r="I164" i="6" s="1"/>
  <c r="F164" i="6"/>
  <c r="J164" i="6" s="1"/>
  <c r="F165" i="6"/>
  <c r="J165" i="6" s="1"/>
  <c r="J47" i="1"/>
  <c r="J44" i="1"/>
  <c r="J41" i="1"/>
  <c r="I47" i="1"/>
  <c r="I46" i="1"/>
  <c r="I44" i="1"/>
  <c r="I43" i="1"/>
  <c r="I41" i="1"/>
  <c r="I40" i="1"/>
  <c r="H47" i="1"/>
  <c r="H46" i="1"/>
  <c r="H45" i="1"/>
  <c r="H44" i="1"/>
  <c r="H43" i="1"/>
  <c r="H42" i="1"/>
  <c r="H41" i="1"/>
  <c r="H40" i="1"/>
  <c r="H39" i="1"/>
  <c r="F47" i="1"/>
  <c r="F46" i="1"/>
  <c r="F45" i="1"/>
  <c r="F44" i="1"/>
  <c r="F43" i="1"/>
  <c r="F42" i="1"/>
  <c r="F41" i="1"/>
  <c r="F40" i="1"/>
  <c r="F39" i="1"/>
  <c r="J206" i="6"/>
  <c r="I206" i="6"/>
  <c r="I205" i="6"/>
  <c r="H205" i="6"/>
  <c r="H206" i="6"/>
  <c r="H204" i="6"/>
  <c r="J209" i="6"/>
  <c r="I209" i="6"/>
  <c r="I208" i="6"/>
  <c r="H208" i="6"/>
  <c r="H209" i="6"/>
  <c r="H207" i="6"/>
  <c r="J212" i="6"/>
  <c r="I212" i="6"/>
  <c r="I211" i="6"/>
  <c r="H211" i="6"/>
  <c r="H212" i="6"/>
  <c r="H210" i="6"/>
  <c r="E376" i="1"/>
  <c r="I165" i="6" l="1"/>
  <c r="I162" i="6"/>
  <c r="J417" i="6"/>
  <c r="J418" i="6"/>
  <c r="D418" i="1"/>
  <c r="D417" i="1"/>
  <c r="G403" i="6" l="1"/>
  <c r="G402" i="6"/>
  <c r="G398" i="6"/>
  <c r="G397" i="6"/>
  <c r="B12" i="12" l="1"/>
  <c r="B11" i="12"/>
  <c r="B10" i="12"/>
  <c r="B8" i="12"/>
  <c r="B7" i="12"/>
  <c r="B5" i="12"/>
  <c r="B3" i="12"/>
  <c r="B2" i="12"/>
  <c r="F367" i="1" l="1"/>
  <c r="F371" i="1"/>
  <c r="F375" i="1"/>
  <c r="J375" i="1"/>
  <c r="J371" i="1"/>
  <c r="J367" i="1"/>
  <c r="S158" i="1"/>
  <c r="O159" i="1"/>
  <c r="R159" i="1" s="1"/>
  <c r="N159" i="1"/>
  <c r="Q159" i="1" s="1"/>
  <c r="M159" i="1"/>
  <c r="P159" i="1" s="1"/>
  <c r="H159" i="1"/>
  <c r="E159" i="1"/>
  <c r="F159" i="6"/>
  <c r="F159" i="1" s="1"/>
  <c r="F158" i="6"/>
  <c r="G158" i="6" s="1"/>
  <c r="N156" i="1"/>
  <c r="Q156" i="1" s="1"/>
  <c r="M156" i="1"/>
  <c r="P156" i="1" s="1"/>
  <c r="P157" i="1"/>
  <c r="H156" i="1"/>
  <c r="E156" i="1"/>
  <c r="F156" i="6"/>
  <c r="F156" i="1" s="1"/>
  <c r="F155" i="6"/>
  <c r="G155" i="6" s="1"/>
  <c r="O151" i="1"/>
  <c r="N151" i="1"/>
  <c r="M151" i="1"/>
  <c r="E151" i="1"/>
  <c r="H151" i="6"/>
  <c r="H151" i="1" s="1"/>
  <c r="F151" i="6"/>
  <c r="F151" i="1" s="1"/>
  <c r="N147" i="1"/>
  <c r="M147" i="1"/>
  <c r="P147" i="1" s="1"/>
  <c r="E147" i="1"/>
  <c r="H147" i="6"/>
  <c r="H147" i="1" s="1"/>
  <c r="F147" i="6"/>
  <c r="F147" i="1" s="1"/>
  <c r="O141" i="1"/>
  <c r="N141" i="1"/>
  <c r="M141" i="1"/>
  <c r="E141" i="1"/>
  <c r="M138" i="1"/>
  <c r="N138" i="1"/>
  <c r="E138" i="1"/>
  <c r="G159" i="6" l="1"/>
  <c r="G159" i="1" s="1"/>
  <c r="J159" i="6"/>
  <c r="J159" i="1" s="1"/>
  <c r="I159" i="6"/>
  <c r="I159" i="1" s="1"/>
  <c r="S159" i="1"/>
  <c r="G156" i="6"/>
  <c r="G156" i="1" s="1"/>
  <c r="I156" i="6"/>
  <c r="I156" i="1" s="1"/>
  <c r="S156" i="1"/>
  <c r="P151" i="1"/>
  <c r="E2" i="1"/>
  <c r="G394" i="1" l="1"/>
  <c r="J195" i="6" l="1"/>
  <c r="J194" i="6"/>
  <c r="J193" i="6"/>
  <c r="I195" i="6"/>
  <c r="I194" i="6"/>
  <c r="I193" i="6"/>
  <c r="I192" i="6"/>
  <c r="J203" i="6"/>
  <c r="J202" i="6"/>
  <c r="J201" i="6"/>
  <c r="I203" i="6"/>
  <c r="I202" i="6"/>
  <c r="I201" i="6"/>
  <c r="I200" i="6"/>
  <c r="J198" i="6"/>
  <c r="I198" i="6"/>
  <c r="I197" i="6"/>
  <c r="H195" i="6" l="1"/>
  <c r="H194" i="6"/>
  <c r="H193" i="6"/>
  <c r="H191" i="6"/>
  <c r="H192" i="6"/>
  <c r="H198" i="6"/>
  <c r="H197" i="6"/>
  <c r="H196" i="6"/>
  <c r="H203" i="6"/>
  <c r="H202" i="6"/>
  <c r="H201" i="6"/>
  <c r="H200" i="6"/>
  <c r="H199" i="6"/>
  <c r="H415" i="6" l="1"/>
  <c r="I416" i="6"/>
  <c r="I418" i="6"/>
  <c r="I417" i="6"/>
  <c r="H418" i="6"/>
  <c r="H417" i="6"/>
  <c r="H416" i="6"/>
  <c r="I318" i="6" l="1"/>
  <c r="J318" i="6"/>
  <c r="J317" i="6"/>
  <c r="I316" i="6"/>
  <c r="J323" i="6"/>
  <c r="J322" i="6"/>
  <c r="I323" i="6"/>
  <c r="I321" i="6"/>
  <c r="J327" i="6"/>
  <c r="J328" i="6"/>
  <c r="I328" i="6"/>
  <c r="I326" i="6"/>
  <c r="H165" i="6" l="1"/>
  <c r="H164" i="6"/>
  <c r="H162" i="6"/>
  <c r="H161" i="6"/>
  <c r="S80" i="1" l="1"/>
  <c r="S79" i="1"/>
  <c r="S78" i="1"/>
  <c r="S75" i="1"/>
  <c r="S74" i="1"/>
  <c r="S73" i="1"/>
  <c r="S71" i="1"/>
  <c r="S70" i="1"/>
  <c r="S69" i="1"/>
  <c r="S68" i="1"/>
  <c r="S66" i="1"/>
  <c r="J160" i="6" l="1"/>
  <c r="J152" i="6"/>
  <c r="J150" i="6"/>
  <c r="J151" i="6" s="1"/>
  <c r="J151" i="1" s="1"/>
  <c r="R151" i="1" s="1"/>
  <c r="I160" i="6"/>
  <c r="I157" i="6"/>
  <c r="I152" i="6"/>
  <c r="I150" i="6"/>
  <c r="I151" i="6" s="1"/>
  <c r="I151" i="1" s="1"/>
  <c r="Q151" i="1" s="1"/>
  <c r="I149" i="6"/>
  <c r="I146" i="6"/>
  <c r="I147" i="6" s="1"/>
  <c r="I147" i="1" s="1"/>
  <c r="Q147" i="1" s="1"/>
  <c r="S147" i="1" s="1"/>
  <c r="H160" i="6"/>
  <c r="H157" i="6"/>
  <c r="H154" i="6"/>
  <c r="H152" i="6"/>
  <c r="H149" i="6"/>
  <c r="G160" i="6"/>
  <c r="G157" i="6"/>
  <c r="G154" i="6"/>
  <c r="G152" i="6"/>
  <c r="G150" i="6"/>
  <c r="G151" i="6" s="1"/>
  <c r="G151" i="1" s="1"/>
  <c r="G149" i="6"/>
  <c r="G145" i="6"/>
  <c r="G146" i="6"/>
  <c r="G147" i="6" s="1"/>
  <c r="G147" i="1" s="1"/>
  <c r="S151" i="1" l="1"/>
  <c r="G205" i="6"/>
  <c r="G205" i="1" s="1"/>
  <c r="G206" i="6"/>
  <c r="G206" i="1" s="1"/>
  <c r="G207" i="6"/>
  <c r="G207" i="1" s="1"/>
  <c r="G208" i="6"/>
  <c r="G208" i="1" s="1"/>
  <c r="G209" i="6"/>
  <c r="G209" i="1" s="1"/>
  <c r="G210" i="6"/>
  <c r="G210" i="1" s="1"/>
  <c r="G211" i="6"/>
  <c r="G211" i="1" s="1"/>
  <c r="G212" i="6"/>
  <c r="G212" i="1" s="1"/>
  <c r="G204" i="6"/>
  <c r="G204" i="1" s="1"/>
  <c r="I145" i="6" l="1"/>
  <c r="H145" i="6"/>
  <c r="F140" i="6" l="1"/>
  <c r="F141" i="6"/>
  <c r="F141" i="1" s="1"/>
  <c r="F138" i="6"/>
  <c r="F138" i="1" s="1"/>
  <c r="F137" i="6"/>
  <c r="J158" i="6"/>
  <c r="I158" i="6"/>
  <c r="I155" i="6"/>
  <c r="H252" i="6"/>
  <c r="J259" i="6"/>
  <c r="J258" i="6"/>
  <c r="J255" i="6"/>
  <c r="J254" i="6"/>
  <c r="J251" i="6"/>
  <c r="J250" i="6"/>
  <c r="I258" i="6"/>
  <c r="I259" i="6"/>
  <c r="I257" i="6"/>
  <c r="I254" i="6"/>
  <c r="I255" i="6"/>
  <c r="I253" i="6"/>
  <c r="I250" i="6"/>
  <c r="I251" i="6"/>
  <c r="I249" i="6"/>
  <c r="H257" i="6"/>
  <c r="H258" i="6"/>
  <c r="H259" i="6"/>
  <c r="H256" i="6"/>
  <c r="H253" i="6"/>
  <c r="H254" i="6"/>
  <c r="H255" i="6"/>
  <c r="H249" i="6"/>
  <c r="H250" i="6"/>
  <c r="H251" i="6"/>
  <c r="H248" i="6"/>
  <c r="J141" i="6" l="1"/>
  <c r="J141" i="1" s="1"/>
  <c r="R141" i="1" s="1"/>
  <c r="G140" i="6"/>
  <c r="G141" i="6"/>
  <c r="G141" i="1" s="1"/>
  <c r="J140" i="6"/>
  <c r="G137" i="6"/>
  <c r="G138" i="6"/>
  <c r="I138" i="6"/>
  <c r="I141" i="6"/>
  <c r="I141" i="1" s="1"/>
  <c r="Q141" i="1" s="1"/>
  <c r="D214" i="1"/>
  <c r="D215" i="1"/>
  <c r="D216" i="1"/>
  <c r="D213" i="1"/>
  <c r="J215" i="6" l="1"/>
  <c r="I215" i="6"/>
  <c r="J221" i="6"/>
  <c r="J222" i="6"/>
  <c r="J223" i="6"/>
  <c r="J220" i="6"/>
  <c r="I219" i="6"/>
  <c r="I220" i="6"/>
  <c r="I221" i="6"/>
  <c r="I222" i="6"/>
  <c r="I223" i="6"/>
  <c r="I218" i="6"/>
  <c r="G221" i="6"/>
  <c r="G222" i="6"/>
  <c r="G223" i="6"/>
  <c r="G220" i="6"/>
  <c r="G218" i="6"/>
  <c r="G214" i="6"/>
  <c r="J216" i="6"/>
  <c r="H214" i="6"/>
  <c r="H215" i="6"/>
  <c r="H216" i="6"/>
  <c r="H213" i="6"/>
  <c r="G228" i="6"/>
  <c r="G229" i="6"/>
  <c r="G230" i="6"/>
  <c r="G227" i="6"/>
  <c r="J228" i="6"/>
  <c r="J229" i="6"/>
  <c r="J230" i="6"/>
  <c r="J227" i="6"/>
  <c r="I226" i="6"/>
  <c r="I227" i="6"/>
  <c r="I228" i="6"/>
  <c r="I229" i="6"/>
  <c r="I230" i="6"/>
  <c r="I225" i="6"/>
  <c r="G225" i="6"/>
  <c r="J246" i="6"/>
  <c r="J247" i="6"/>
  <c r="J245" i="6"/>
  <c r="I245" i="6"/>
  <c r="I246" i="6"/>
  <c r="I247" i="6"/>
  <c r="I244" i="6"/>
  <c r="H244" i="6"/>
  <c r="H245" i="6"/>
  <c r="H246" i="6"/>
  <c r="H247" i="6"/>
  <c r="H243" i="6"/>
  <c r="G244" i="6"/>
  <c r="G245" i="6"/>
  <c r="G246" i="6"/>
  <c r="G247" i="6"/>
  <c r="G243" i="6"/>
  <c r="G241" i="6"/>
  <c r="G242" i="6"/>
  <c r="G236" i="6"/>
  <c r="G238" i="6"/>
  <c r="G240" i="6"/>
  <c r="J241" i="6"/>
  <c r="J242" i="6"/>
  <c r="J240" i="6"/>
  <c r="I242" i="6"/>
  <c r="I241" i="6"/>
  <c r="I240" i="6"/>
  <c r="H242" i="6"/>
  <c r="H241" i="6"/>
  <c r="H240" i="6"/>
  <c r="H236" i="6"/>
  <c r="I238" i="6"/>
  <c r="H238" i="6"/>
  <c r="G232" i="6"/>
  <c r="G233" i="6"/>
  <c r="G234" i="6"/>
  <c r="G235" i="6"/>
  <c r="G231" i="6"/>
  <c r="J234" i="6"/>
  <c r="J235" i="6"/>
  <c r="J233" i="6"/>
  <c r="I233" i="6"/>
  <c r="I234" i="6"/>
  <c r="I235" i="6"/>
  <c r="I232" i="6"/>
  <c r="H232" i="6"/>
  <c r="H233" i="6"/>
  <c r="H234" i="6"/>
  <c r="H235" i="6"/>
  <c r="H231" i="6"/>
  <c r="G215" i="6" l="1"/>
  <c r="I214" i="6"/>
  <c r="I216" i="6"/>
  <c r="J203" i="1"/>
  <c r="J202" i="1"/>
  <c r="J201" i="1"/>
  <c r="J198" i="1"/>
  <c r="J195" i="1"/>
  <c r="J194" i="1"/>
  <c r="J193" i="1"/>
  <c r="I203" i="1"/>
  <c r="I202" i="1"/>
  <c r="I201" i="1"/>
  <c r="I200" i="1"/>
  <c r="I198" i="1"/>
  <c r="I197" i="1"/>
  <c r="I195" i="1"/>
  <c r="I194" i="1"/>
  <c r="I193" i="1"/>
  <c r="I192" i="1"/>
  <c r="H191" i="1"/>
  <c r="H192" i="1"/>
  <c r="H193" i="1"/>
  <c r="H194" i="1"/>
  <c r="H195" i="1"/>
  <c r="H196" i="1"/>
  <c r="H197" i="1"/>
  <c r="H198" i="1"/>
  <c r="H199" i="1"/>
  <c r="H200" i="1"/>
  <c r="H201" i="1"/>
  <c r="H202" i="1"/>
  <c r="H203" i="1"/>
  <c r="G191" i="1"/>
  <c r="G192" i="1"/>
  <c r="G193" i="1"/>
  <c r="G194" i="1"/>
  <c r="G195" i="1"/>
  <c r="G196" i="1"/>
  <c r="G197" i="1"/>
  <c r="G198" i="1"/>
  <c r="G199" i="1"/>
  <c r="G200" i="1"/>
  <c r="G201" i="1"/>
  <c r="G202" i="1"/>
  <c r="G203" i="1"/>
  <c r="F191" i="1"/>
  <c r="F192" i="1"/>
  <c r="F193" i="1"/>
  <c r="F194" i="1"/>
  <c r="F195" i="1"/>
  <c r="F196" i="1"/>
  <c r="F197" i="1"/>
  <c r="F198" i="1"/>
  <c r="F199" i="1"/>
  <c r="F200" i="1"/>
  <c r="F201" i="1"/>
  <c r="F202" i="1"/>
  <c r="F203" i="1"/>
  <c r="S414" i="1"/>
  <c r="S413" i="1"/>
  <c r="S412" i="1"/>
  <c r="S411" i="1"/>
  <c r="S410" i="1"/>
  <c r="S409" i="1"/>
  <c r="S408" i="1"/>
  <c r="S407" i="1"/>
  <c r="D32" i="1" l="1"/>
  <c r="D31" i="1"/>
  <c r="K14" i="6" l="1"/>
  <c r="K15" i="6"/>
  <c r="K16" i="6"/>
  <c r="K17" i="6"/>
  <c r="K18" i="6"/>
  <c r="K19" i="6"/>
  <c r="K20" i="6"/>
  <c r="K21" i="6"/>
  <c r="K22" i="6"/>
  <c r="K23" i="6"/>
  <c r="K24" i="6"/>
  <c r="K25" i="6"/>
  <c r="K26" i="6"/>
  <c r="K27" i="6"/>
  <c r="K28" i="6"/>
  <c r="K13" i="6"/>
  <c r="K30" i="6"/>
  <c r="K31" i="6"/>
  <c r="K32" i="6"/>
  <c r="K33" i="6"/>
  <c r="K34" i="6"/>
  <c r="K35" i="6"/>
  <c r="K36" i="6"/>
  <c r="K37" i="6"/>
  <c r="K38" i="6"/>
  <c r="K29" i="6"/>
  <c r="G355" i="1" l="1"/>
  <c r="G356" i="1"/>
  <c r="G357" i="1"/>
  <c r="G358" i="1"/>
  <c r="G359" i="1"/>
  <c r="G360" i="1"/>
  <c r="G361" i="1"/>
  <c r="G362" i="1"/>
  <c r="G363" i="1"/>
  <c r="F355" i="1"/>
  <c r="F356" i="1"/>
  <c r="F357" i="1"/>
  <c r="F358" i="1"/>
  <c r="F359" i="1"/>
  <c r="F360" i="1"/>
  <c r="F361" i="1"/>
  <c r="F362" i="1"/>
  <c r="F363" i="1"/>
  <c r="G232" i="1" l="1"/>
  <c r="G233" i="1"/>
  <c r="G234" i="1"/>
  <c r="G235" i="1"/>
  <c r="G236" i="1"/>
  <c r="G237" i="6"/>
  <c r="G237" i="1" s="1"/>
  <c r="G238" i="1"/>
  <c r="G239" i="6"/>
  <c r="G239" i="1" s="1"/>
  <c r="G240" i="1"/>
  <c r="G241" i="1"/>
  <c r="G242" i="1"/>
  <c r="G243" i="1"/>
  <c r="G244" i="1"/>
  <c r="G245" i="1"/>
  <c r="G246" i="1"/>
  <c r="G231" i="1"/>
  <c r="G247" i="1"/>
  <c r="M395" i="1" l="1"/>
  <c r="N395" i="1"/>
  <c r="G396" i="6"/>
  <c r="G399" i="6"/>
  <c r="G399" i="1" s="1"/>
  <c r="G400" i="6"/>
  <c r="G400" i="1" s="1"/>
  <c r="G401" i="6"/>
  <c r="G395" i="6"/>
  <c r="G395" i="1" s="1"/>
  <c r="G401" i="1" l="1"/>
  <c r="G403" i="1"/>
  <c r="G402" i="1"/>
  <c r="G396" i="1"/>
  <c r="G397" i="1"/>
  <c r="G398" i="1"/>
  <c r="Q395" i="1"/>
  <c r="N68" i="1" l="1"/>
  <c r="F142" i="6" l="1"/>
  <c r="F139" i="6"/>
  <c r="F136" i="6"/>
  <c r="G135" i="6"/>
  <c r="F135" i="6"/>
  <c r="H141" i="6" l="1"/>
  <c r="H141" i="1" s="1"/>
  <c r="P141" i="1" s="1"/>
  <c r="S141" i="1" s="1"/>
  <c r="H140" i="6"/>
  <c r="H138" i="6"/>
  <c r="H138" i="1" s="1"/>
  <c r="P138" i="1" s="1"/>
  <c r="H137" i="6"/>
  <c r="G138" i="1"/>
  <c r="I138" i="1"/>
  <c r="Q138" i="1" s="1"/>
  <c r="S138" i="1" s="1"/>
  <c r="I140" i="6"/>
  <c r="I137" i="6"/>
  <c r="H142" i="6"/>
  <c r="H139" i="6"/>
  <c r="H136" i="6"/>
  <c r="G136" i="6"/>
  <c r="I139" i="6"/>
  <c r="I142" i="6"/>
  <c r="G139" i="6"/>
  <c r="G142" i="6"/>
  <c r="J142" i="6"/>
  <c r="H135" i="6"/>
  <c r="Q2" i="1" l="1"/>
  <c r="M416" i="1"/>
  <c r="P416" i="1" s="1"/>
  <c r="M415" i="1"/>
  <c r="P415" i="1" s="1"/>
  <c r="O417" i="1"/>
  <c r="R417" i="1" s="1"/>
  <c r="S415" i="1" l="1"/>
  <c r="M75" i="1"/>
  <c r="M76" i="1"/>
  <c r="M77" i="1"/>
  <c r="M78" i="1"/>
  <c r="M80" i="1"/>
  <c r="M66" i="1"/>
  <c r="M67" i="1"/>
  <c r="M68" i="1"/>
  <c r="M71" i="1"/>
  <c r="M70" i="1"/>
  <c r="O190" i="1" l="1"/>
  <c r="R190" i="1" s="1"/>
  <c r="N190" i="1"/>
  <c r="Q190" i="1" s="1"/>
  <c r="M190" i="1"/>
  <c r="P190" i="1" s="1"/>
  <c r="O185" i="1"/>
  <c r="R185" i="1" s="1"/>
  <c r="N185" i="1"/>
  <c r="Q185" i="1" s="1"/>
  <c r="M185" i="1"/>
  <c r="P185" i="1" s="1"/>
  <c r="O180" i="1"/>
  <c r="R180" i="1" s="1"/>
  <c r="N180" i="1"/>
  <c r="Q180" i="1" s="1"/>
  <c r="M180" i="1"/>
  <c r="P180" i="1" s="1"/>
  <c r="H190" i="1"/>
  <c r="I190" i="1"/>
  <c r="J190" i="1"/>
  <c r="H185" i="1"/>
  <c r="I185" i="1"/>
  <c r="J185" i="1"/>
  <c r="H180" i="1"/>
  <c r="I180" i="1"/>
  <c r="J180" i="1"/>
  <c r="F190" i="1"/>
  <c r="G190" i="1"/>
  <c r="F185" i="1"/>
  <c r="G185" i="1"/>
  <c r="F180" i="1"/>
  <c r="G180" i="1"/>
  <c r="E190" i="1"/>
  <c r="E185" i="1"/>
  <c r="E180" i="1"/>
  <c r="E182" i="1"/>
  <c r="E183" i="1"/>
  <c r="E184" i="1"/>
  <c r="S180" i="1" l="1"/>
  <c r="S190" i="1"/>
  <c r="S185" i="1"/>
  <c r="P80" i="1" l="1"/>
  <c r="P75" i="1"/>
  <c r="P70" i="1"/>
  <c r="N84" i="1" l="1"/>
  <c r="Q84" i="1" s="1"/>
  <c r="R2" i="1" l="1"/>
  <c r="P2" i="1"/>
  <c r="M103" i="1" l="1"/>
  <c r="M92" i="1"/>
  <c r="M81" i="1"/>
  <c r="M105" i="1"/>
  <c r="M104" i="1"/>
  <c r="M94" i="1"/>
  <c r="M93" i="1"/>
  <c r="M83" i="1"/>
  <c r="M82" i="1"/>
  <c r="N70" i="1"/>
  <c r="Q70" i="1" s="1"/>
  <c r="N69" i="1"/>
  <c r="Q69" i="1" s="1"/>
  <c r="N418" i="1"/>
  <c r="Q418" i="1" s="1"/>
  <c r="N417" i="1"/>
  <c r="Q417" i="1" s="1"/>
  <c r="N414" i="1"/>
  <c r="N413" i="1"/>
  <c r="N412" i="1"/>
  <c r="N411" i="1"/>
  <c r="N410" i="1"/>
  <c r="N409" i="1"/>
  <c r="N406" i="1"/>
  <c r="N403" i="1"/>
  <c r="N402" i="1"/>
  <c r="N401" i="1"/>
  <c r="N398" i="1"/>
  <c r="N397" i="1"/>
  <c r="N396" i="1"/>
  <c r="N393" i="1"/>
  <c r="N390" i="1"/>
  <c r="Q390" i="1" s="1"/>
  <c r="N387" i="1"/>
  <c r="N384" i="1"/>
  <c r="N381" i="1"/>
  <c r="N378" i="1"/>
  <c r="N374" i="1"/>
  <c r="N370" i="1"/>
  <c r="N366" i="1"/>
  <c r="N363" i="1"/>
  <c r="Q363" i="1" s="1"/>
  <c r="N360" i="1"/>
  <c r="Q360" i="1" s="1"/>
  <c r="N357" i="1"/>
  <c r="Q357" i="1" s="1"/>
  <c r="N354" i="1"/>
  <c r="N349" i="1"/>
  <c r="N345" i="1"/>
  <c r="N341" i="1"/>
  <c r="N337" i="1"/>
  <c r="N332" i="1"/>
  <c r="N328" i="1"/>
  <c r="N327" i="1"/>
  <c r="N323" i="1"/>
  <c r="N322" i="1"/>
  <c r="N318" i="1"/>
  <c r="N317" i="1"/>
  <c r="N313" i="1"/>
  <c r="N312" i="1"/>
  <c r="N309" i="1"/>
  <c r="N308" i="1"/>
  <c r="N305" i="1"/>
  <c r="N304" i="1"/>
  <c r="N301" i="1"/>
  <c r="N300" i="1"/>
  <c r="N297" i="1"/>
  <c r="N296" i="1"/>
  <c r="N293" i="1"/>
  <c r="N292" i="1"/>
  <c r="N289" i="1"/>
  <c r="N286" i="1"/>
  <c r="N283" i="1"/>
  <c r="N280" i="1"/>
  <c r="N277" i="1"/>
  <c r="N274" i="1"/>
  <c r="N271" i="1"/>
  <c r="N270" i="1"/>
  <c r="N267" i="1"/>
  <c r="N266" i="1"/>
  <c r="N263" i="1"/>
  <c r="N262" i="1"/>
  <c r="N259" i="1"/>
  <c r="N258" i="1"/>
  <c r="N255" i="1"/>
  <c r="N254" i="1"/>
  <c r="N251" i="1"/>
  <c r="N250" i="1"/>
  <c r="N247" i="1"/>
  <c r="N246" i="1"/>
  <c r="N245" i="1"/>
  <c r="N242" i="1"/>
  <c r="N241" i="1"/>
  <c r="N240" i="1"/>
  <c r="N235" i="1"/>
  <c r="N234" i="1"/>
  <c r="N233" i="1"/>
  <c r="N230" i="1"/>
  <c r="N229" i="1"/>
  <c r="N228" i="1"/>
  <c r="N227" i="1"/>
  <c r="N223" i="1"/>
  <c r="N222" i="1"/>
  <c r="N221" i="1"/>
  <c r="N220" i="1"/>
  <c r="N216" i="1"/>
  <c r="N215" i="1"/>
  <c r="Q215" i="1" s="1"/>
  <c r="N212" i="1"/>
  <c r="N209" i="1"/>
  <c r="N206" i="1"/>
  <c r="N203" i="1"/>
  <c r="N202" i="1"/>
  <c r="N201" i="1"/>
  <c r="N198" i="1"/>
  <c r="N195" i="1"/>
  <c r="N194" i="1"/>
  <c r="N193" i="1"/>
  <c r="N189" i="1"/>
  <c r="Q189" i="1" s="1"/>
  <c r="N184" i="1"/>
  <c r="Q184" i="1" s="1"/>
  <c r="N179" i="1"/>
  <c r="N175" i="1"/>
  <c r="N174" i="1"/>
  <c r="N170" i="1"/>
  <c r="N169" i="1"/>
  <c r="N165" i="1"/>
  <c r="N164" i="1"/>
  <c r="N160" i="1"/>
  <c r="N158" i="1"/>
  <c r="N152" i="1"/>
  <c r="N150" i="1"/>
  <c r="N142" i="1"/>
  <c r="N140" i="1"/>
  <c r="N134" i="1"/>
  <c r="N133" i="1"/>
  <c r="N130" i="1"/>
  <c r="N129" i="1"/>
  <c r="N126" i="1"/>
  <c r="N125" i="1"/>
  <c r="N122" i="1"/>
  <c r="N119" i="1"/>
  <c r="N116" i="1"/>
  <c r="N113" i="1"/>
  <c r="N112" i="1"/>
  <c r="N111" i="1"/>
  <c r="N110" i="1"/>
  <c r="N102" i="1"/>
  <c r="N101" i="1"/>
  <c r="N100" i="1"/>
  <c r="N99" i="1"/>
  <c r="N91" i="1"/>
  <c r="N90" i="1"/>
  <c r="N89" i="1"/>
  <c r="N88" i="1"/>
  <c r="N65" i="1"/>
  <c r="N62" i="1"/>
  <c r="N59" i="1"/>
  <c r="N56" i="1"/>
  <c r="N53" i="1"/>
  <c r="N50" i="1"/>
  <c r="N47" i="1"/>
  <c r="N44" i="1"/>
  <c r="N41" i="1"/>
  <c r="N38" i="1"/>
  <c r="N37" i="1"/>
  <c r="N36" i="1"/>
  <c r="N35" i="1"/>
  <c r="N28" i="1"/>
  <c r="N27" i="1"/>
  <c r="N26" i="1"/>
  <c r="N25" i="1"/>
  <c r="N20" i="1"/>
  <c r="N19" i="1"/>
  <c r="N18" i="1"/>
  <c r="N17" i="1"/>
  <c r="N12" i="1"/>
  <c r="N9" i="1"/>
  <c r="N6" i="1"/>
  <c r="N416" i="1"/>
  <c r="N408" i="1"/>
  <c r="N405" i="1"/>
  <c r="N400" i="1"/>
  <c r="N392" i="1"/>
  <c r="N389" i="1"/>
  <c r="N386" i="1"/>
  <c r="N383" i="1"/>
  <c r="N380" i="1"/>
  <c r="N377" i="1"/>
  <c r="N373" i="1"/>
  <c r="N369" i="1"/>
  <c r="N365" i="1"/>
  <c r="N362" i="1"/>
  <c r="Q362" i="1" s="1"/>
  <c r="N359" i="1"/>
  <c r="Q359" i="1" s="1"/>
  <c r="N356" i="1"/>
  <c r="Q356" i="1" s="1"/>
  <c r="N353" i="1"/>
  <c r="N348" i="1"/>
  <c r="N344" i="1"/>
  <c r="N340" i="1"/>
  <c r="N336" i="1"/>
  <c r="N335" i="1"/>
  <c r="N331" i="1"/>
  <c r="N326" i="1"/>
  <c r="N325" i="1"/>
  <c r="N321" i="1"/>
  <c r="N320" i="1"/>
  <c r="N316" i="1"/>
  <c r="N315" i="1"/>
  <c r="N311" i="1"/>
  <c r="N307" i="1"/>
  <c r="N303" i="1"/>
  <c r="N299" i="1"/>
  <c r="N295" i="1"/>
  <c r="N291" i="1"/>
  <c r="N288" i="1"/>
  <c r="N285" i="1"/>
  <c r="N282" i="1"/>
  <c r="N279" i="1"/>
  <c r="N276" i="1"/>
  <c r="N273" i="1"/>
  <c r="N269" i="1"/>
  <c r="N265" i="1"/>
  <c r="N261" i="1"/>
  <c r="N257" i="1"/>
  <c r="N253" i="1"/>
  <c r="N249" i="1"/>
  <c r="N244" i="1"/>
  <c r="N239" i="1"/>
  <c r="N238" i="1"/>
  <c r="N232" i="1"/>
  <c r="N226" i="1"/>
  <c r="N225" i="1"/>
  <c r="N219" i="1"/>
  <c r="N218" i="1"/>
  <c r="N214" i="1"/>
  <c r="N211" i="1"/>
  <c r="N208" i="1"/>
  <c r="N205" i="1"/>
  <c r="N200" i="1"/>
  <c r="N197" i="1"/>
  <c r="N192" i="1"/>
  <c r="N188" i="1"/>
  <c r="N183" i="1"/>
  <c r="N178" i="1"/>
  <c r="N173" i="1"/>
  <c r="N172" i="1"/>
  <c r="N168" i="1"/>
  <c r="N167" i="1"/>
  <c r="N163" i="1"/>
  <c r="N162" i="1"/>
  <c r="N155" i="1"/>
  <c r="S155" i="1" s="1"/>
  <c r="N149" i="1"/>
  <c r="N148" i="1"/>
  <c r="N146" i="1"/>
  <c r="N139" i="1"/>
  <c r="N137" i="1"/>
  <c r="N132" i="1"/>
  <c r="N128" i="1"/>
  <c r="N124" i="1"/>
  <c r="N121" i="1"/>
  <c r="N118" i="1"/>
  <c r="N115" i="1"/>
  <c r="N109" i="1"/>
  <c r="N108" i="1"/>
  <c r="N107" i="1"/>
  <c r="N106" i="1"/>
  <c r="N98" i="1"/>
  <c r="N97" i="1"/>
  <c r="N96" i="1"/>
  <c r="N95" i="1"/>
  <c r="N87" i="1"/>
  <c r="N86" i="1"/>
  <c r="N85" i="1"/>
  <c r="N64" i="1"/>
  <c r="N61" i="1"/>
  <c r="N58" i="1"/>
  <c r="N55" i="1"/>
  <c r="N52" i="1"/>
  <c r="N49" i="1"/>
  <c r="N46" i="1"/>
  <c r="N43" i="1"/>
  <c r="N40" i="1"/>
  <c r="N34" i="1"/>
  <c r="N33" i="1"/>
  <c r="N24" i="1"/>
  <c r="N23" i="1"/>
  <c r="N16" i="1"/>
  <c r="N15" i="1"/>
  <c r="N11" i="1"/>
  <c r="N8" i="1"/>
  <c r="N5" i="1"/>
  <c r="Q416" i="1" l="1"/>
  <c r="S416" i="1"/>
  <c r="M418" i="1"/>
  <c r="P418" i="1" s="1"/>
  <c r="M417" i="1"/>
  <c r="P417" i="1" s="1"/>
  <c r="S417" i="1" s="1"/>
  <c r="M414" i="1"/>
  <c r="M413" i="1"/>
  <c r="M412" i="1"/>
  <c r="M411" i="1"/>
  <c r="M410" i="1"/>
  <c r="M409" i="1"/>
  <c r="M406" i="1"/>
  <c r="M403" i="1"/>
  <c r="M402" i="1"/>
  <c r="M401" i="1"/>
  <c r="M398" i="1"/>
  <c r="M397" i="1"/>
  <c r="M396" i="1"/>
  <c r="M393" i="1"/>
  <c r="M390" i="1"/>
  <c r="M387" i="1"/>
  <c r="M384" i="1"/>
  <c r="M381" i="1"/>
  <c r="M378" i="1"/>
  <c r="M374" i="1"/>
  <c r="M370" i="1"/>
  <c r="M366" i="1"/>
  <c r="M363" i="1"/>
  <c r="P363" i="1" s="1"/>
  <c r="M360" i="1"/>
  <c r="P360" i="1" s="1"/>
  <c r="M357" i="1"/>
  <c r="P357" i="1" s="1"/>
  <c r="M354" i="1"/>
  <c r="M349" i="1"/>
  <c r="M345" i="1"/>
  <c r="M341" i="1"/>
  <c r="M337" i="1"/>
  <c r="M332" i="1"/>
  <c r="M328" i="1"/>
  <c r="M327" i="1"/>
  <c r="M323" i="1"/>
  <c r="M322" i="1"/>
  <c r="M318" i="1"/>
  <c r="M317" i="1"/>
  <c r="M313" i="1"/>
  <c r="M312" i="1"/>
  <c r="M309" i="1"/>
  <c r="M308" i="1"/>
  <c r="M305" i="1"/>
  <c r="M304" i="1"/>
  <c r="M301" i="1"/>
  <c r="M300" i="1"/>
  <c r="M297" i="1"/>
  <c r="M296" i="1"/>
  <c r="M293" i="1"/>
  <c r="M292" i="1"/>
  <c r="M289" i="1"/>
  <c r="M286" i="1"/>
  <c r="M283" i="1"/>
  <c r="M280" i="1"/>
  <c r="M277" i="1"/>
  <c r="M274" i="1"/>
  <c r="M271" i="1"/>
  <c r="M270" i="1"/>
  <c r="M267" i="1"/>
  <c r="M266" i="1"/>
  <c r="M263" i="1"/>
  <c r="M262" i="1"/>
  <c r="M259" i="1"/>
  <c r="M258" i="1"/>
  <c r="M255" i="1"/>
  <c r="M254" i="1"/>
  <c r="M251" i="1"/>
  <c r="M250" i="1"/>
  <c r="M247" i="1"/>
  <c r="M246" i="1"/>
  <c r="M245" i="1"/>
  <c r="P245" i="1" s="1"/>
  <c r="M242" i="1"/>
  <c r="P242" i="1" s="1"/>
  <c r="M241" i="1"/>
  <c r="P241" i="1" s="1"/>
  <c r="M240" i="1"/>
  <c r="P240" i="1" s="1"/>
  <c r="M235" i="1"/>
  <c r="M234" i="1"/>
  <c r="M233" i="1"/>
  <c r="M230" i="1"/>
  <c r="M229" i="1"/>
  <c r="M228" i="1"/>
  <c r="M227" i="1"/>
  <c r="M223" i="1"/>
  <c r="M222" i="1"/>
  <c r="M221" i="1"/>
  <c r="M220" i="1"/>
  <c r="M216" i="1"/>
  <c r="M215" i="1"/>
  <c r="M212" i="1"/>
  <c r="M209" i="1"/>
  <c r="M206" i="1"/>
  <c r="M203" i="1"/>
  <c r="M202" i="1"/>
  <c r="M201" i="1"/>
  <c r="M198" i="1"/>
  <c r="M195" i="1"/>
  <c r="M194" i="1"/>
  <c r="M193" i="1"/>
  <c r="M189" i="1"/>
  <c r="P189" i="1" s="1"/>
  <c r="M184" i="1"/>
  <c r="P184" i="1" s="1"/>
  <c r="M179" i="1"/>
  <c r="P179" i="1" s="1"/>
  <c r="M175" i="1"/>
  <c r="M174" i="1"/>
  <c r="M170" i="1"/>
  <c r="M169" i="1"/>
  <c r="M165" i="1"/>
  <c r="M164" i="1"/>
  <c r="M160" i="1"/>
  <c r="M158" i="1"/>
  <c r="M152" i="1"/>
  <c r="M150" i="1"/>
  <c r="M142" i="1"/>
  <c r="M140" i="1"/>
  <c r="M134" i="1"/>
  <c r="M133" i="1"/>
  <c r="M130" i="1"/>
  <c r="M129" i="1"/>
  <c r="M126" i="1"/>
  <c r="M125" i="1"/>
  <c r="M122" i="1"/>
  <c r="M119" i="1"/>
  <c r="M116" i="1"/>
  <c r="M113" i="1"/>
  <c r="M112" i="1"/>
  <c r="M111" i="1"/>
  <c r="M110" i="1"/>
  <c r="M102" i="1"/>
  <c r="M101" i="1"/>
  <c r="M100" i="1"/>
  <c r="M99" i="1"/>
  <c r="M91" i="1"/>
  <c r="M90" i="1"/>
  <c r="M89" i="1"/>
  <c r="M88" i="1"/>
  <c r="M65" i="1"/>
  <c r="M62" i="1"/>
  <c r="M59" i="1"/>
  <c r="M56" i="1"/>
  <c r="M53" i="1"/>
  <c r="M50" i="1"/>
  <c r="M47" i="1"/>
  <c r="M44" i="1"/>
  <c r="M41" i="1"/>
  <c r="M38" i="1"/>
  <c r="M37" i="1"/>
  <c r="M36" i="1"/>
  <c r="M35" i="1"/>
  <c r="M28" i="1"/>
  <c r="M27" i="1"/>
  <c r="M26" i="1"/>
  <c r="M25" i="1"/>
  <c r="M20" i="1"/>
  <c r="M19" i="1"/>
  <c r="M18" i="1"/>
  <c r="M17" i="1"/>
  <c r="M12" i="1"/>
  <c r="M9" i="1"/>
  <c r="P9" i="1" s="1"/>
  <c r="M6" i="1"/>
  <c r="M408" i="1"/>
  <c r="M405" i="1"/>
  <c r="M400" i="1"/>
  <c r="Q400" i="1" s="1"/>
  <c r="M392" i="1"/>
  <c r="M389" i="1"/>
  <c r="M386" i="1"/>
  <c r="M383" i="1"/>
  <c r="M380" i="1"/>
  <c r="M377" i="1"/>
  <c r="M373" i="1"/>
  <c r="M369" i="1"/>
  <c r="M365" i="1"/>
  <c r="M362" i="1"/>
  <c r="P362" i="1" s="1"/>
  <c r="M359" i="1"/>
  <c r="P359" i="1" s="1"/>
  <c r="M356" i="1"/>
  <c r="P356" i="1" s="1"/>
  <c r="M353" i="1"/>
  <c r="M348" i="1"/>
  <c r="M344" i="1"/>
  <c r="M340" i="1"/>
  <c r="M336" i="1"/>
  <c r="M335" i="1"/>
  <c r="M331" i="1"/>
  <c r="M326" i="1"/>
  <c r="M325" i="1"/>
  <c r="M321" i="1"/>
  <c r="M320" i="1"/>
  <c r="M316" i="1"/>
  <c r="M315" i="1"/>
  <c r="M311" i="1"/>
  <c r="M307" i="1"/>
  <c r="M303" i="1"/>
  <c r="M299" i="1"/>
  <c r="M295" i="1"/>
  <c r="M291" i="1"/>
  <c r="M288" i="1"/>
  <c r="M285" i="1"/>
  <c r="M282" i="1"/>
  <c r="M279" i="1"/>
  <c r="M276" i="1"/>
  <c r="M273" i="1"/>
  <c r="M269" i="1"/>
  <c r="M265" i="1"/>
  <c r="M261" i="1"/>
  <c r="M257" i="1"/>
  <c r="M253" i="1"/>
  <c r="M249" i="1"/>
  <c r="M244" i="1"/>
  <c r="M239" i="1"/>
  <c r="M238" i="1"/>
  <c r="M232" i="1"/>
  <c r="M226" i="1"/>
  <c r="M225" i="1"/>
  <c r="M219" i="1"/>
  <c r="M218" i="1"/>
  <c r="M214" i="1"/>
  <c r="M211" i="1"/>
  <c r="M208" i="1"/>
  <c r="M205" i="1"/>
  <c r="M200" i="1"/>
  <c r="M197" i="1"/>
  <c r="M192" i="1"/>
  <c r="M188" i="1"/>
  <c r="M183" i="1"/>
  <c r="M178" i="1"/>
  <c r="P178" i="1" s="1"/>
  <c r="M173" i="1"/>
  <c r="M172" i="1"/>
  <c r="M168" i="1"/>
  <c r="M167" i="1"/>
  <c r="M163" i="1"/>
  <c r="M162" i="1"/>
  <c r="M155" i="1"/>
  <c r="M149" i="1"/>
  <c r="M148" i="1"/>
  <c r="M146" i="1"/>
  <c r="M139" i="1"/>
  <c r="M137" i="1"/>
  <c r="M132" i="1"/>
  <c r="M128" i="1"/>
  <c r="M124" i="1"/>
  <c r="M121" i="1"/>
  <c r="M118" i="1"/>
  <c r="M115" i="1"/>
  <c r="M109" i="1"/>
  <c r="Q109" i="1" s="1"/>
  <c r="M108" i="1"/>
  <c r="Q108" i="1" s="1"/>
  <c r="M107" i="1"/>
  <c r="Q107" i="1" s="1"/>
  <c r="M106" i="1"/>
  <c r="M98" i="1"/>
  <c r="Q98" i="1" s="1"/>
  <c r="M97" i="1"/>
  <c r="Q97" i="1" s="1"/>
  <c r="M96" i="1"/>
  <c r="Q96" i="1" s="1"/>
  <c r="M95" i="1"/>
  <c r="M87" i="1"/>
  <c r="Q87" i="1" s="1"/>
  <c r="M86" i="1"/>
  <c r="Q86" i="1" s="1"/>
  <c r="M85" i="1"/>
  <c r="Q85" i="1" s="1"/>
  <c r="M84" i="1"/>
  <c r="M64" i="1"/>
  <c r="M61" i="1"/>
  <c r="M58" i="1"/>
  <c r="M55" i="1"/>
  <c r="M52" i="1"/>
  <c r="M49" i="1"/>
  <c r="M46" i="1"/>
  <c r="M43" i="1"/>
  <c r="M40" i="1"/>
  <c r="M34" i="1"/>
  <c r="M33" i="1"/>
  <c r="M24" i="1"/>
  <c r="M23" i="1"/>
  <c r="M16" i="1"/>
  <c r="M15" i="1"/>
  <c r="M11" i="1"/>
  <c r="M8" i="1"/>
  <c r="M5" i="1"/>
  <c r="M407" i="1"/>
  <c r="M404" i="1"/>
  <c r="M399" i="1"/>
  <c r="M394" i="1"/>
  <c r="M391" i="1"/>
  <c r="M388" i="1"/>
  <c r="M385" i="1"/>
  <c r="M382" i="1"/>
  <c r="M379" i="1"/>
  <c r="M376" i="1"/>
  <c r="M372" i="1"/>
  <c r="M368" i="1"/>
  <c r="M364" i="1"/>
  <c r="M361" i="1"/>
  <c r="P361" i="1" s="1"/>
  <c r="M358" i="1"/>
  <c r="P358" i="1" s="1"/>
  <c r="M355" i="1"/>
  <c r="P355" i="1" s="1"/>
  <c r="M352" i="1"/>
  <c r="M351" i="1"/>
  <c r="M350" i="1"/>
  <c r="M347" i="1"/>
  <c r="M346" i="1"/>
  <c r="M343" i="1"/>
  <c r="M342" i="1"/>
  <c r="M339" i="1"/>
  <c r="M338" i="1"/>
  <c r="M334" i="1"/>
  <c r="M333" i="1"/>
  <c r="M330" i="1"/>
  <c r="M329" i="1"/>
  <c r="M324" i="1"/>
  <c r="M319" i="1"/>
  <c r="M314" i="1"/>
  <c r="M310" i="1"/>
  <c r="M306" i="1"/>
  <c r="M302" i="1"/>
  <c r="M298" i="1"/>
  <c r="M294" i="1"/>
  <c r="M290" i="1"/>
  <c r="M287" i="1"/>
  <c r="M284" i="1"/>
  <c r="M281" i="1"/>
  <c r="M278" i="1"/>
  <c r="M275" i="1"/>
  <c r="M272" i="1"/>
  <c r="M268" i="1"/>
  <c r="M264" i="1"/>
  <c r="M260" i="1"/>
  <c r="M256" i="1"/>
  <c r="M252" i="1"/>
  <c r="M248" i="1"/>
  <c r="M243" i="1"/>
  <c r="M237" i="1"/>
  <c r="M236" i="1"/>
  <c r="M231" i="1"/>
  <c r="M224" i="1"/>
  <c r="M217" i="1"/>
  <c r="M213" i="1"/>
  <c r="M210" i="1"/>
  <c r="M207" i="1"/>
  <c r="M204" i="1"/>
  <c r="M199" i="1"/>
  <c r="M196" i="1"/>
  <c r="M191" i="1"/>
  <c r="M187" i="1"/>
  <c r="M186" i="1"/>
  <c r="M182" i="1"/>
  <c r="M181" i="1"/>
  <c r="M177" i="1"/>
  <c r="P177" i="1" s="1"/>
  <c r="M176" i="1"/>
  <c r="P176" i="1" s="1"/>
  <c r="M171" i="1"/>
  <c r="M166" i="1"/>
  <c r="M161" i="1"/>
  <c r="M154" i="1"/>
  <c r="M153" i="1"/>
  <c r="P153" i="1" s="1"/>
  <c r="M145" i="1"/>
  <c r="P145" i="1" s="1"/>
  <c r="M144" i="1"/>
  <c r="P144" i="1" s="1"/>
  <c r="M143" i="1"/>
  <c r="P143" i="1" s="1"/>
  <c r="M136" i="1"/>
  <c r="P136" i="1" s="1"/>
  <c r="M135" i="1"/>
  <c r="P135" i="1" s="1"/>
  <c r="M131" i="1"/>
  <c r="M127" i="1"/>
  <c r="M123" i="1"/>
  <c r="M120" i="1"/>
  <c r="M117" i="1"/>
  <c r="M114" i="1"/>
  <c r="M63" i="1"/>
  <c r="M60" i="1"/>
  <c r="M57" i="1"/>
  <c r="M54" i="1"/>
  <c r="M51" i="1"/>
  <c r="M48" i="1"/>
  <c r="M45" i="1"/>
  <c r="M42" i="1"/>
  <c r="M39" i="1"/>
  <c r="P39" i="1" s="1"/>
  <c r="M32" i="1"/>
  <c r="M31" i="1"/>
  <c r="M30" i="1"/>
  <c r="M29" i="1"/>
  <c r="M22" i="1"/>
  <c r="M21" i="1"/>
  <c r="M14" i="1"/>
  <c r="M13" i="1"/>
  <c r="M10" i="1"/>
  <c r="M7" i="1"/>
  <c r="M4" i="1"/>
  <c r="S400" i="1" l="1"/>
  <c r="S395" i="1"/>
  <c r="N80" i="1"/>
  <c r="Q80" i="1" s="1"/>
  <c r="N79" i="1"/>
  <c r="Q79" i="1" s="1"/>
  <c r="N78" i="1"/>
  <c r="N75" i="1"/>
  <c r="Q75" i="1" s="1"/>
  <c r="N74" i="1"/>
  <c r="Q74" i="1" s="1"/>
  <c r="N73" i="1"/>
  <c r="P78" i="1"/>
  <c r="M73" i="1"/>
  <c r="P73" i="1" s="1"/>
  <c r="P68" i="1"/>
  <c r="M79" i="1"/>
  <c r="P79" i="1" s="1"/>
  <c r="M74" i="1"/>
  <c r="P74" i="1" s="1"/>
  <c r="M69" i="1"/>
  <c r="P69" i="1" s="1"/>
  <c r="P77" i="1"/>
  <c r="M72" i="1"/>
  <c r="P72" i="1" s="1"/>
  <c r="P71" i="1"/>
  <c r="P67" i="1"/>
  <c r="P66" i="1"/>
  <c r="Q78" i="1" l="1"/>
  <c r="Q73" i="1"/>
  <c r="Q68" i="1"/>
  <c r="P282" i="1"/>
  <c r="P32" i="1" l="1"/>
  <c r="P31" i="1"/>
  <c r="P30" i="1"/>
  <c r="P29" i="1"/>
  <c r="P22" i="1"/>
  <c r="P21" i="1"/>
  <c r="Q34" i="1"/>
  <c r="Q33" i="1"/>
  <c r="Q24" i="1"/>
  <c r="Q23" i="1"/>
  <c r="Q16" i="1"/>
  <c r="Q15" i="1"/>
  <c r="O38" i="1"/>
  <c r="R38" i="1" s="1"/>
  <c r="O37" i="1"/>
  <c r="R37" i="1" s="1"/>
  <c r="O36" i="1"/>
  <c r="R36" i="1" s="1"/>
  <c r="O35" i="1"/>
  <c r="R35" i="1" s="1"/>
  <c r="O28" i="1"/>
  <c r="R28" i="1" s="1"/>
  <c r="O27" i="1"/>
  <c r="R27" i="1" s="1"/>
  <c r="O26" i="1"/>
  <c r="R26" i="1" s="1"/>
  <c r="O25" i="1"/>
  <c r="R25" i="1" s="1"/>
  <c r="O20" i="1"/>
  <c r="R20" i="1" s="1"/>
  <c r="O19" i="1"/>
  <c r="R19" i="1" s="1"/>
  <c r="O18" i="1"/>
  <c r="R18" i="1" s="1"/>
  <c r="O17" i="1"/>
  <c r="R17" i="1" s="1"/>
  <c r="P12" i="1"/>
  <c r="S17" i="1" l="1"/>
  <c r="S18" i="1"/>
  <c r="S35" i="1"/>
  <c r="S19" i="1"/>
  <c r="S23" i="1"/>
  <c r="H148" i="1"/>
  <c r="I148" i="1"/>
  <c r="H144" i="1"/>
  <c r="J289" i="1" l="1"/>
  <c r="Q239" i="1" l="1"/>
  <c r="O418" i="1" l="1"/>
  <c r="O416" i="1"/>
  <c r="G416" i="1"/>
  <c r="H416" i="1"/>
  <c r="I416" i="1"/>
  <c r="G417" i="1"/>
  <c r="H417" i="1"/>
  <c r="I417" i="1"/>
  <c r="J417" i="1"/>
  <c r="G418" i="1"/>
  <c r="H418" i="1"/>
  <c r="I418" i="1"/>
  <c r="J418" i="1"/>
  <c r="G415" i="1"/>
  <c r="H415" i="1"/>
  <c r="F418" i="1"/>
  <c r="F417" i="1"/>
  <c r="F416" i="1"/>
  <c r="F415" i="1"/>
  <c r="E415" i="1"/>
  <c r="E416" i="1"/>
  <c r="E417" i="1"/>
  <c r="E418" i="1"/>
  <c r="O160" i="1"/>
  <c r="O158" i="1"/>
  <c r="O152" i="1"/>
  <c r="O150" i="1"/>
  <c r="O142" i="1"/>
  <c r="O140" i="1"/>
  <c r="Q47" i="1"/>
  <c r="O47" i="1"/>
  <c r="R47" i="1" s="1"/>
  <c r="P47" i="1"/>
  <c r="Q46" i="1"/>
  <c r="P46" i="1"/>
  <c r="P45" i="1"/>
  <c r="Q44" i="1"/>
  <c r="O44" i="1"/>
  <c r="R44" i="1" s="1"/>
  <c r="P44" i="1"/>
  <c r="Q43" i="1"/>
  <c r="P43" i="1"/>
  <c r="P42" i="1"/>
  <c r="Q41" i="1"/>
  <c r="O41" i="1"/>
  <c r="R41" i="1" s="1"/>
  <c r="P41" i="1"/>
  <c r="Q40" i="1"/>
  <c r="P40" i="1"/>
  <c r="P57" i="1"/>
  <c r="Q58" i="1"/>
  <c r="P58" i="1"/>
  <c r="Q59" i="1"/>
  <c r="O59" i="1"/>
  <c r="R59" i="1" s="1"/>
  <c r="P59" i="1"/>
  <c r="P60" i="1"/>
  <c r="Q61" i="1"/>
  <c r="P61" i="1"/>
  <c r="Q62" i="1"/>
  <c r="O62" i="1"/>
  <c r="R62" i="1" s="1"/>
  <c r="P62" i="1"/>
  <c r="P63" i="1"/>
  <c r="Q64" i="1"/>
  <c r="P64" i="1"/>
  <c r="Q65" i="1"/>
  <c r="O65" i="1"/>
  <c r="R65" i="1" s="1"/>
  <c r="P65" i="1"/>
  <c r="O409" i="1"/>
  <c r="R409" i="1" s="1"/>
  <c r="P154" i="1"/>
  <c r="P81" i="1"/>
  <c r="O414" i="1"/>
  <c r="R414" i="1" s="1"/>
  <c r="O413" i="1"/>
  <c r="R413" i="1" s="1"/>
  <c r="O412" i="1"/>
  <c r="R412" i="1" s="1"/>
  <c r="O411" i="1"/>
  <c r="R411" i="1" s="1"/>
  <c r="O410" i="1"/>
  <c r="R410" i="1" s="1"/>
  <c r="Q414" i="1"/>
  <c r="Q413" i="1"/>
  <c r="Q412" i="1"/>
  <c r="Q411" i="1"/>
  <c r="Q410" i="1"/>
  <c r="Q409" i="1"/>
  <c r="Q408" i="1"/>
  <c r="Q406" i="1"/>
  <c r="Q405" i="1"/>
  <c r="P414" i="1"/>
  <c r="P413" i="1"/>
  <c r="P412" i="1"/>
  <c r="P411" i="1"/>
  <c r="P410" i="1"/>
  <c r="P409" i="1"/>
  <c r="P408" i="1"/>
  <c r="P407" i="1"/>
  <c r="G408" i="6"/>
  <c r="G408" i="1" s="1"/>
  <c r="G409" i="6"/>
  <c r="G409" i="1" s="1"/>
  <c r="G410" i="6"/>
  <c r="G410" i="1" s="1"/>
  <c r="G411" i="6"/>
  <c r="G411" i="1" s="1"/>
  <c r="G412" i="6"/>
  <c r="G412" i="1" s="1"/>
  <c r="G413" i="6"/>
  <c r="G413" i="1" s="1"/>
  <c r="G414" i="6"/>
  <c r="G414" i="1" s="1"/>
  <c r="G407" i="6"/>
  <c r="G407" i="1" s="1"/>
  <c r="F413" i="1"/>
  <c r="J414" i="1"/>
  <c r="I414" i="1"/>
  <c r="H414" i="1"/>
  <c r="F414" i="1"/>
  <c r="J413" i="1"/>
  <c r="I413" i="1"/>
  <c r="H413" i="1"/>
  <c r="F408" i="1"/>
  <c r="J412" i="1"/>
  <c r="I412" i="1"/>
  <c r="H412" i="1"/>
  <c r="F412" i="1"/>
  <c r="J411" i="1"/>
  <c r="I411" i="1"/>
  <c r="H411" i="1"/>
  <c r="F411" i="1"/>
  <c r="J410" i="1"/>
  <c r="I410" i="1"/>
  <c r="H410" i="1"/>
  <c r="F410" i="1"/>
  <c r="J409" i="1"/>
  <c r="I409" i="1"/>
  <c r="H409" i="1"/>
  <c r="F409" i="1"/>
  <c r="I408" i="1"/>
  <c r="H408" i="1"/>
  <c r="E407" i="1"/>
  <c r="F407" i="1"/>
  <c r="H407" i="1"/>
  <c r="E408" i="1"/>
  <c r="E409" i="1"/>
  <c r="E410" i="1"/>
  <c r="E411" i="1"/>
  <c r="E412" i="1"/>
  <c r="E413" i="1"/>
  <c r="E414" i="1"/>
  <c r="F225" i="1"/>
  <c r="G275" i="1"/>
  <c r="O221" i="1"/>
  <c r="O223" i="1"/>
  <c r="O228" i="1"/>
  <c r="O230" i="1"/>
  <c r="Q230" i="1"/>
  <c r="Q214" i="1"/>
  <c r="J327" i="1"/>
  <c r="J322" i="1"/>
  <c r="J317" i="1"/>
  <c r="I390" i="1"/>
  <c r="P214" i="1"/>
  <c r="P6" i="1"/>
  <c r="P8" i="1"/>
  <c r="P11" i="1"/>
  <c r="P48" i="1"/>
  <c r="P49" i="1"/>
  <c r="P50" i="1"/>
  <c r="P51" i="1"/>
  <c r="P52" i="1"/>
  <c r="P53" i="1"/>
  <c r="P54" i="1"/>
  <c r="P55" i="1"/>
  <c r="P56" i="1"/>
  <c r="P76" i="1"/>
  <c r="S76" i="1" s="1"/>
  <c r="P82" i="1"/>
  <c r="P83" i="1"/>
  <c r="P92" i="1"/>
  <c r="P93" i="1"/>
  <c r="P94" i="1"/>
  <c r="P103" i="1"/>
  <c r="P104" i="1"/>
  <c r="P105" i="1"/>
  <c r="P114" i="1"/>
  <c r="P115" i="1"/>
  <c r="P116" i="1"/>
  <c r="P118" i="1"/>
  <c r="P119" i="1"/>
  <c r="P121" i="1"/>
  <c r="P122" i="1"/>
  <c r="P123" i="1"/>
  <c r="P124" i="1"/>
  <c r="P125" i="1"/>
  <c r="P126" i="1"/>
  <c r="P127" i="1"/>
  <c r="P128" i="1"/>
  <c r="P129" i="1"/>
  <c r="P130" i="1"/>
  <c r="P131" i="1"/>
  <c r="P132" i="1"/>
  <c r="P133" i="1"/>
  <c r="P134" i="1"/>
  <c r="P161" i="1"/>
  <c r="P162" i="1"/>
  <c r="P163" i="1"/>
  <c r="P164" i="1"/>
  <c r="P165" i="1"/>
  <c r="P166" i="1"/>
  <c r="P167" i="1"/>
  <c r="P168" i="1"/>
  <c r="P169" i="1"/>
  <c r="P170" i="1"/>
  <c r="P171" i="1"/>
  <c r="P172" i="1"/>
  <c r="P173" i="1"/>
  <c r="P174" i="1"/>
  <c r="P175" i="1"/>
  <c r="P181" i="1"/>
  <c r="P182" i="1"/>
  <c r="P183" i="1"/>
  <c r="P186" i="1"/>
  <c r="P187" i="1"/>
  <c r="P188" i="1"/>
  <c r="P191" i="1"/>
  <c r="P192" i="1"/>
  <c r="P193" i="1"/>
  <c r="P194" i="1"/>
  <c r="P195" i="1"/>
  <c r="P196" i="1"/>
  <c r="P197" i="1"/>
  <c r="P198" i="1"/>
  <c r="P199" i="1"/>
  <c r="P200" i="1"/>
  <c r="P201" i="1"/>
  <c r="P202" i="1"/>
  <c r="P203" i="1"/>
  <c r="P204" i="1"/>
  <c r="P205" i="1"/>
  <c r="P206" i="1"/>
  <c r="P207" i="1"/>
  <c r="P208" i="1"/>
  <c r="P209" i="1"/>
  <c r="P210" i="1"/>
  <c r="P211" i="1"/>
  <c r="P212" i="1"/>
  <c r="P231" i="1"/>
  <c r="P232" i="1"/>
  <c r="P233" i="1"/>
  <c r="P234" i="1"/>
  <c r="P235" i="1"/>
  <c r="P237" i="1"/>
  <c r="P238" i="1"/>
  <c r="P239" i="1"/>
  <c r="P244"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64" i="1"/>
  <c r="P365" i="1"/>
  <c r="P366" i="1"/>
  <c r="P368" i="1"/>
  <c r="P369" i="1"/>
  <c r="P370" i="1"/>
  <c r="P372" i="1"/>
  <c r="P373" i="1"/>
  <c r="P374" i="1"/>
  <c r="P376" i="1"/>
  <c r="S376" i="1" s="1"/>
  <c r="P377" i="1"/>
  <c r="P378" i="1"/>
  <c r="P379" i="1"/>
  <c r="S379" i="1" s="1"/>
  <c r="P380" i="1"/>
  <c r="P381" i="1"/>
  <c r="P382" i="1"/>
  <c r="S382" i="1" s="1"/>
  <c r="P383" i="1"/>
  <c r="P384" i="1"/>
  <c r="P385" i="1"/>
  <c r="P386" i="1"/>
  <c r="P387" i="1"/>
  <c r="P388" i="1"/>
  <c r="P389" i="1"/>
  <c r="P390" i="1"/>
  <c r="P391" i="1"/>
  <c r="P392" i="1"/>
  <c r="P393" i="1"/>
  <c r="P394" i="1"/>
  <c r="P399" i="1"/>
  <c r="P404" i="1"/>
  <c r="P405" i="1"/>
  <c r="P406" i="1"/>
  <c r="F221" i="1"/>
  <c r="G221" i="1"/>
  <c r="H221" i="1"/>
  <c r="I221" i="1"/>
  <c r="J221" i="1"/>
  <c r="F222" i="1"/>
  <c r="G222" i="1"/>
  <c r="H222" i="1"/>
  <c r="I222" i="1"/>
  <c r="J222" i="1"/>
  <c r="O222" i="1"/>
  <c r="E221" i="1"/>
  <c r="F223" i="1"/>
  <c r="G223" i="1"/>
  <c r="H223" i="1"/>
  <c r="I223" i="1"/>
  <c r="J223" i="1"/>
  <c r="E223" i="1"/>
  <c r="F219" i="1"/>
  <c r="G219" i="1"/>
  <c r="H219" i="1"/>
  <c r="I219" i="1"/>
  <c r="E219" i="1"/>
  <c r="F230" i="1"/>
  <c r="G230" i="1"/>
  <c r="H230" i="1"/>
  <c r="I230" i="1"/>
  <c r="J230" i="1"/>
  <c r="F228" i="1"/>
  <c r="G228" i="1"/>
  <c r="H228" i="1"/>
  <c r="I228" i="1"/>
  <c r="J228" i="1"/>
  <c r="E230" i="1"/>
  <c r="E228" i="1"/>
  <c r="F226" i="1"/>
  <c r="G226" i="1"/>
  <c r="H226" i="1"/>
  <c r="I226" i="1"/>
  <c r="E226" i="1"/>
  <c r="G329" i="6"/>
  <c r="G330" i="6"/>
  <c r="G331" i="6"/>
  <c r="G332" i="6"/>
  <c r="G334" i="6"/>
  <c r="G335" i="6"/>
  <c r="G336" i="6"/>
  <c r="G337" i="6"/>
  <c r="G338" i="6"/>
  <c r="G339" i="6"/>
  <c r="G340" i="6"/>
  <c r="G341" i="6"/>
  <c r="G333" i="6"/>
  <c r="F384" i="1"/>
  <c r="F383" i="1"/>
  <c r="F382" i="1"/>
  <c r="F381" i="1"/>
  <c r="F380" i="1"/>
  <c r="F379" i="1"/>
  <c r="F378" i="1"/>
  <c r="F377" i="1"/>
  <c r="F376" i="1"/>
  <c r="I384" i="6"/>
  <c r="I384" i="1" s="1"/>
  <c r="I381" i="6"/>
  <c r="I381" i="1" s="1"/>
  <c r="I378" i="6"/>
  <c r="I378" i="1" s="1"/>
  <c r="H384" i="6"/>
  <c r="H384" i="1" s="1"/>
  <c r="H383" i="6"/>
  <c r="H383" i="1" s="1"/>
  <c r="H381" i="6"/>
  <c r="H381" i="1" s="1"/>
  <c r="H380" i="6"/>
  <c r="H380" i="1" s="1"/>
  <c r="H378" i="6"/>
  <c r="H378" i="1" s="1"/>
  <c r="H377" i="6"/>
  <c r="H377" i="1" s="1"/>
  <c r="O406" i="1"/>
  <c r="R406" i="1" s="1"/>
  <c r="O403" i="1"/>
  <c r="R403" i="1" s="1"/>
  <c r="O402" i="1"/>
  <c r="R402" i="1" s="1"/>
  <c r="O401" i="1"/>
  <c r="O398" i="1"/>
  <c r="R398" i="1" s="1"/>
  <c r="O397" i="1"/>
  <c r="R397" i="1" s="1"/>
  <c r="O396" i="1"/>
  <c r="R396" i="1" s="1"/>
  <c r="O393" i="1"/>
  <c r="R393" i="1" s="1"/>
  <c r="O390" i="1"/>
  <c r="R390" i="1" s="1"/>
  <c r="O387" i="1"/>
  <c r="R387" i="1" s="1"/>
  <c r="O384" i="1"/>
  <c r="R384" i="1" s="1"/>
  <c r="O381" i="1"/>
  <c r="R381" i="1" s="1"/>
  <c r="O378" i="1"/>
  <c r="R378" i="1" s="1"/>
  <c r="O374" i="1"/>
  <c r="O370" i="1"/>
  <c r="R370" i="1" s="1"/>
  <c r="O366" i="1"/>
  <c r="R366" i="1" s="1"/>
  <c r="O363" i="1"/>
  <c r="R363" i="1" s="1"/>
  <c r="O360" i="1"/>
  <c r="R360" i="1" s="1"/>
  <c r="O357" i="1"/>
  <c r="R357" i="1" s="1"/>
  <c r="O354" i="1"/>
  <c r="R354" i="1" s="1"/>
  <c r="O349" i="1"/>
  <c r="R349" i="1" s="1"/>
  <c r="O345" i="1"/>
  <c r="R345" i="1" s="1"/>
  <c r="O341" i="1"/>
  <c r="R341" i="1" s="1"/>
  <c r="O337" i="1"/>
  <c r="R337" i="1" s="1"/>
  <c r="O332" i="1"/>
  <c r="R332" i="1" s="1"/>
  <c r="O328" i="1"/>
  <c r="R328" i="1" s="1"/>
  <c r="O327" i="1"/>
  <c r="R327" i="1" s="1"/>
  <c r="O323" i="1"/>
  <c r="R323" i="1" s="1"/>
  <c r="O322" i="1"/>
  <c r="R322" i="1" s="1"/>
  <c r="O318" i="1"/>
  <c r="R318" i="1" s="1"/>
  <c r="O317" i="1"/>
  <c r="R317" i="1" s="1"/>
  <c r="O313" i="1"/>
  <c r="R313" i="1" s="1"/>
  <c r="O312" i="1"/>
  <c r="R312" i="1" s="1"/>
  <c r="O309" i="1"/>
  <c r="R309" i="1" s="1"/>
  <c r="O308" i="1"/>
  <c r="R308" i="1" s="1"/>
  <c r="O305" i="1"/>
  <c r="R305" i="1" s="1"/>
  <c r="O304" i="1"/>
  <c r="R304" i="1" s="1"/>
  <c r="O301" i="1"/>
  <c r="R301" i="1" s="1"/>
  <c r="O300" i="1"/>
  <c r="R300" i="1" s="1"/>
  <c r="O297" i="1"/>
  <c r="R297" i="1" s="1"/>
  <c r="O296" i="1"/>
  <c r="R296" i="1" s="1"/>
  <c r="O293" i="1"/>
  <c r="R293" i="1" s="1"/>
  <c r="O292" i="1"/>
  <c r="R292" i="1" s="1"/>
  <c r="O289" i="1"/>
  <c r="R289" i="1" s="1"/>
  <c r="O286" i="1"/>
  <c r="R286" i="1" s="1"/>
  <c r="O283" i="1"/>
  <c r="R283" i="1" s="1"/>
  <c r="O280" i="1"/>
  <c r="R280" i="1" s="1"/>
  <c r="O277" i="1"/>
  <c r="R277" i="1" s="1"/>
  <c r="O274" i="1"/>
  <c r="R274" i="1" s="1"/>
  <c r="O271" i="1"/>
  <c r="R271" i="1" s="1"/>
  <c r="O270" i="1"/>
  <c r="R270" i="1" s="1"/>
  <c r="O267" i="1"/>
  <c r="R267" i="1" s="1"/>
  <c r="O266" i="1"/>
  <c r="R266" i="1" s="1"/>
  <c r="O263" i="1"/>
  <c r="R263" i="1" s="1"/>
  <c r="O262" i="1"/>
  <c r="R262" i="1" s="1"/>
  <c r="O259" i="1"/>
  <c r="R259" i="1" s="1"/>
  <c r="O258" i="1"/>
  <c r="R258" i="1" s="1"/>
  <c r="O255" i="1"/>
  <c r="R255" i="1" s="1"/>
  <c r="O254" i="1"/>
  <c r="R254" i="1" s="1"/>
  <c r="O251" i="1"/>
  <c r="R251" i="1" s="1"/>
  <c r="O250" i="1"/>
  <c r="R250" i="1" s="1"/>
  <c r="O247" i="1"/>
  <c r="R247" i="1" s="1"/>
  <c r="O246" i="1"/>
  <c r="R246" i="1" s="1"/>
  <c r="O245" i="1"/>
  <c r="R245" i="1" s="1"/>
  <c r="O242" i="1"/>
  <c r="R242" i="1" s="1"/>
  <c r="O241" i="1"/>
  <c r="R241" i="1" s="1"/>
  <c r="O240" i="1"/>
  <c r="R240" i="1" s="1"/>
  <c r="O235" i="1"/>
  <c r="R235" i="1" s="1"/>
  <c r="O234" i="1"/>
  <c r="R234" i="1" s="1"/>
  <c r="O233" i="1"/>
  <c r="R233" i="1" s="1"/>
  <c r="O229" i="1"/>
  <c r="O227" i="1"/>
  <c r="O220" i="1"/>
  <c r="O216" i="1"/>
  <c r="R216" i="1" s="1"/>
  <c r="O215" i="1"/>
  <c r="O212" i="1"/>
  <c r="R212" i="1" s="1"/>
  <c r="O209" i="1"/>
  <c r="R209" i="1" s="1"/>
  <c r="O206" i="1"/>
  <c r="R206" i="1" s="1"/>
  <c r="O203" i="1"/>
  <c r="R203" i="1" s="1"/>
  <c r="O202" i="1"/>
  <c r="R202" i="1" s="1"/>
  <c r="O201" i="1"/>
  <c r="R201" i="1" s="1"/>
  <c r="O198" i="1"/>
  <c r="R198" i="1" s="1"/>
  <c r="O195" i="1"/>
  <c r="R195" i="1" s="1"/>
  <c r="O194" i="1"/>
  <c r="R194" i="1" s="1"/>
  <c r="O193" i="1"/>
  <c r="R193" i="1" s="1"/>
  <c r="O189" i="1"/>
  <c r="R189" i="1" s="1"/>
  <c r="O184" i="1"/>
  <c r="R184" i="1" s="1"/>
  <c r="O179" i="1"/>
  <c r="O175" i="1"/>
  <c r="R175" i="1" s="1"/>
  <c r="O174" i="1"/>
  <c r="R174" i="1" s="1"/>
  <c r="O170" i="1"/>
  <c r="R170" i="1" s="1"/>
  <c r="O169" i="1"/>
  <c r="R169" i="1" s="1"/>
  <c r="O165" i="1"/>
  <c r="O164" i="1"/>
  <c r="O134" i="1"/>
  <c r="R134" i="1" s="1"/>
  <c r="O133" i="1"/>
  <c r="R133" i="1" s="1"/>
  <c r="O130" i="1"/>
  <c r="R130" i="1" s="1"/>
  <c r="O129" i="1"/>
  <c r="R129" i="1" s="1"/>
  <c r="O126" i="1"/>
  <c r="R126" i="1" s="1"/>
  <c r="O125" i="1"/>
  <c r="R125" i="1" s="1"/>
  <c r="O122" i="1"/>
  <c r="R122" i="1" s="1"/>
  <c r="O119" i="1"/>
  <c r="R119" i="1" s="1"/>
  <c r="O116" i="1"/>
  <c r="R116" i="1" s="1"/>
  <c r="O113" i="1"/>
  <c r="R113" i="1" s="1"/>
  <c r="O112" i="1"/>
  <c r="R112" i="1" s="1"/>
  <c r="O111" i="1"/>
  <c r="R111" i="1" s="1"/>
  <c r="O110" i="1"/>
  <c r="R110" i="1" s="1"/>
  <c r="O102" i="1"/>
  <c r="R102" i="1" s="1"/>
  <c r="O101" i="1"/>
  <c r="R101" i="1" s="1"/>
  <c r="O100" i="1"/>
  <c r="R100" i="1" s="1"/>
  <c r="O99" i="1"/>
  <c r="R99" i="1" s="1"/>
  <c r="O91" i="1"/>
  <c r="R91" i="1" s="1"/>
  <c r="O90" i="1"/>
  <c r="R90" i="1" s="1"/>
  <c r="O89" i="1"/>
  <c r="R89" i="1" s="1"/>
  <c r="O88" i="1"/>
  <c r="R88" i="1" s="1"/>
  <c r="O80" i="1"/>
  <c r="O79" i="1"/>
  <c r="O75" i="1"/>
  <c r="O74" i="1"/>
  <c r="O70" i="1"/>
  <c r="O69" i="1"/>
  <c r="O56" i="1"/>
  <c r="R56" i="1" s="1"/>
  <c r="O53" i="1"/>
  <c r="R53" i="1" s="1"/>
  <c r="O50" i="1"/>
  <c r="R50" i="1" s="1"/>
  <c r="O12" i="1"/>
  <c r="R12" i="1" s="1"/>
  <c r="O9" i="1"/>
  <c r="R9" i="1" s="1"/>
  <c r="O6" i="1"/>
  <c r="R6" i="1" s="1"/>
  <c r="Q393" i="1"/>
  <c r="Q392" i="1"/>
  <c r="Q389" i="1"/>
  <c r="Q387" i="1"/>
  <c r="Q386" i="1"/>
  <c r="Q384" i="1"/>
  <c r="Q383" i="1"/>
  <c r="Q381" i="1"/>
  <c r="Q380" i="1"/>
  <c r="Q378" i="1"/>
  <c r="Q377" i="1"/>
  <c r="Q374" i="1"/>
  <c r="Q373" i="1"/>
  <c r="Q370" i="1"/>
  <c r="Q369" i="1"/>
  <c r="Q366" i="1"/>
  <c r="Q365" i="1"/>
  <c r="Q354" i="1"/>
  <c r="Q353" i="1"/>
  <c r="Q349" i="1"/>
  <c r="Q348" i="1"/>
  <c r="Q345" i="1"/>
  <c r="Q344" i="1"/>
  <c r="Q341" i="1"/>
  <c r="Q340" i="1"/>
  <c r="Q337" i="1"/>
  <c r="Q336" i="1"/>
  <c r="Q335" i="1"/>
  <c r="Q332" i="1"/>
  <c r="Q331" i="1"/>
  <c r="Q328" i="1"/>
  <c r="Q327" i="1"/>
  <c r="Q326" i="1"/>
  <c r="Q325" i="1"/>
  <c r="Q323" i="1"/>
  <c r="Q322" i="1"/>
  <c r="Q321" i="1"/>
  <c r="Q320" i="1"/>
  <c r="Q318" i="1"/>
  <c r="Q317" i="1"/>
  <c r="Q316" i="1"/>
  <c r="Q315" i="1"/>
  <c r="Q313" i="1"/>
  <c r="Q312" i="1"/>
  <c r="Q311" i="1"/>
  <c r="Q309" i="1"/>
  <c r="Q308" i="1"/>
  <c r="Q307" i="1"/>
  <c r="Q305" i="1"/>
  <c r="Q304" i="1"/>
  <c r="Q303" i="1"/>
  <c r="Q301" i="1"/>
  <c r="Q300" i="1"/>
  <c r="Q299" i="1"/>
  <c r="Q297" i="1"/>
  <c r="Q296" i="1"/>
  <c r="Q295" i="1"/>
  <c r="Q293" i="1"/>
  <c r="Q292" i="1"/>
  <c r="Q291" i="1"/>
  <c r="Q289" i="1"/>
  <c r="Q288" i="1"/>
  <c r="Q286" i="1"/>
  <c r="Q285" i="1"/>
  <c r="Q283" i="1"/>
  <c r="Q282" i="1"/>
  <c r="Q280" i="1"/>
  <c r="Q279" i="1"/>
  <c r="Q277" i="1"/>
  <c r="Q276" i="1"/>
  <c r="Q274" i="1"/>
  <c r="Q273" i="1"/>
  <c r="Q271" i="1"/>
  <c r="Q270" i="1"/>
  <c r="Q269" i="1"/>
  <c r="Q267" i="1"/>
  <c r="Q266" i="1"/>
  <c r="Q265" i="1"/>
  <c r="Q263" i="1"/>
  <c r="Q262" i="1"/>
  <c r="Q261" i="1"/>
  <c r="Q259" i="1"/>
  <c r="Q258" i="1"/>
  <c r="Q257" i="1"/>
  <c r="Q255" i="1"/>
  <c r="Q254" i="1"/>
  <c r="Q253" i="1"/>
  <c r="Q251" i="1"/>
  <c r="Q250" i="1"/>
  <c r="Q249" i="1"/>
  <c r="Q247" i="1"/>
  <c r="Q246" i="1"/>
  <c r="Q245" i="1"/>
  <c r="Q244" i="1"/>
  <c r="Q242" i="1"/>
  <c r="Q241" i="1"/>
  <c r="Q240" i="1"/>
  <c r="Q238" i="1"/>
  <c r="Q235" i="1"/>
  <c r="Q234" i="1"/>
  <c r="Q233" i="1"/>
  <c r="Q232" i="1"/>
  <c r="Q229" i="1"/>
  <c r="Q227" i="1"/>
  <c r="Q218" i="1"/>
  <c r="Q216" i="1"/>
  <c r="Q212" i="1"/>
  <c r="Q211" i="1"/>
  <c r="Q209" i="1"/>
  <c r="Q208" i="1"/>
  <c r="Q206" i="1"/>
  <c r="Q205" i="1"/>
  <c r="Q203" i="1"/>
  <c r="Q202" i="1"/>
  <c r="Q201" i="1"/>
  <c r="Q200" i="1"/>
  <c r="Q198" i="1"/>
  <c r="Q197" i="1"/>
  <c r="Q195" i="1"/>
  <c r="Q194" i="1"/>
  <c r="Q193" i="1"/>
  <c r="Q192" i="1"/>
  <c r="Q188" i="1"/>
  <c r="Q183" i="1"/>
  <c r="Q179" i="1"/>
  <c r="Q178" i="1"/>
  <c r="Q175" i="1"/>
  <c r="Q174" i="1"/>
  <c r="Q173" i="1"/>
  <c r="Q172" i="1"/>
  <c r="Q170" i="1"/>
  <c r="Q169" i="1"/>
  <c r="Q168" i="1"/>
  <c r="Q167" i="1"/>
  <c r="Q165" i="1"/>
  <c r="Q164" i="1"/>
  <c r="Q163" i="1"/>
  <c r="Q162" i="1"/>
  <c r="Q134" i="1"/>
  <c r="Q133" i="1"/>
  <c r="Q132" i="1"/>
  <c r="Q130" i="1"/>
  <c r="Q129" i="1"/>
  <c r="Q128" i="1"/>
  <c r="Q126" i="1"/>
  <c r="Q125" i="1"/>
  <c r="Q124" i="1"/>
  <c r="Q122" i="1"/>
  <c r="Q121" i="1"/>
  <c r="Q119" i="1"/>
  <c r="Q118" i="1"/>
  <c r="Q116" i="1"/>
  <c r="Q115" i="1"/>
  <c r="Q56" i="1"/>
  <c r="Q55" i="1"/>
  <c r="Q53" i="1"/>
  <c r="Q52" i="1"/>
  <c r="Q50" i="1"/>
  <c r="Q49" i="1"/>
  <c r="Q12" i="1"/>
  <c r="Q11" i="1"/>
  <c r="Q9" i="1"/>
  <c r="Q8" i="1"/>
  <c r="Q6" i="1"/>
  <c r="Q5" i="1"/>
  <c r="P5" i="1"/>
  <c r="J406" i="1"/>
  <c r="I406" i="1"/>
  <c r="H406" i="1"/>
  <c r="I405" i="1"/>
  <c r="H405" i="1"/>
  <c r="H404" i="1"/>
  <c r="F352" i="1"/>
  <c r="G352" i="1"/>
  <c r="H352" i="1"/>
  <c r="E352" i="1"/>
  <c r="J341" i="1"/>
  <c r="I341" i="1"/>
  <c r="H341" i="1"/>
  <c r="I340" i="1"/>
  <c r="H340" i="1"/>
  <c r="H339" i="1"/>
  <c r="H338" i="1"/>
  <c r="J337" i="1"/>
  <c r="I337" i="1"/>
  <c r="H337" i="1"/>
  <c r="I336" i="1"/>
  <c r="H336" i="1"/>
  <c r="I335" i="1"/>
  <c r="H335" i="1"/>
  <c r="H334" i="1"/>
  <c r="H333" i="1"/>
  <c r="J332" i="1"/>
  <c r="I332" i="1"/>
  <c r="H332" i="1"/>
  <c r="I331" i="1"/>
  <c r="H331" i="1"/>
  <c r="H330" i="1"/>
  <c r="H329" i="1"/>
  <c r="H328" i="1"/>
  <c r="H327" i="1"/>
  <c r="H326" i="1"/>
  <c r="H325" i="1"/>
  <c r="H324" i="1"/>
  <c r="H323" i="1"/>
  <c r="H322" i="1"/>
  <c r="H321" i="1"/>
  <c r="H320" i="1"/>
  <c r="H319" i="1"/>
  <c r="H318" i="1"/>
  <c r="H317" i="1"/>
  <c r="H316" i="1"/>
  <c r="H314" i="1"/>
  <c r="H315" i="1"/>
  <c r="H77" i="1"/>
  <c r="H72" i="1"/>
  <c r="H67" i="1"/>
  <c r="K109" i="1"/>
  <c r="K108" i="1"/>
  <c r="K105" i="1"/>
  <c r="K104" i="1"/>
  <c r="K107" i="1"/>
  <c r="K113" i="1"/>
  <c r="K112" i="1"/>
  <c r="K111" i="1"/>
  <c r="E104" i="1"/>
  <c r="E105" i="1"/>
  <c r="K102" i="1"/>
  <c r="K101" i="1"/>
  <c r="K100" i="1"/>
  <c r="K98" i="1"/>
  <c r="K97" i="1"/>
  <c r="K96" i="1"/>
  <c r="K94" i="1"/>
  <c r="K93" i="1"/>
  <c r="E93" i="1"/>
  <c r="E94" i="1"/>
  <c r="F85" i="1"/>
  <c r="F86" i="1"/>
  <c r="F87" i="1"/>
  <c r="F89" i="1"/>
  <c r="F90" i="1"/>
  <c r="F91" i="1"/>
  <c r="K91" i="1"/>
  <c r="K90" i="1"/>
  <c r="K89" i="1"/>
  <c r="K87" i="1"/>
  <c r="K86" i="1"/>
  <c r="K85" i="1"/>
  <c r="K83" i="1"/>
  <c r="K82" i="1"/>
  <c r="E84" i="1"/>
  <c r="E83" i="1"/>
  <c r="E82" i="1"/>
  <c r="K14" i="1"/>
  <c r="K15" i="1"/>
  <c r="K16" i="1"/>
  <c r="K17" i="1"/>
  <c r="K18" i="1"/>
  <c r="K19" i="1"/>
  <c r="K20" i="1"/>
  <c r="K21" i="1"/>
  <c r="K22" i="1"/>
  <c r="K23" i="1"/>
  <c r="K24" i="1"/>
  <c r="K25" i="1"/>
  <c r="K26" i="1"/>
  <c r="K27" i="1"/>
  <c r="K28" i="1"/>
  <c r="K29" i="1"/>
  <c r="K30" i="1"/>
  <c r="K31" i="1"/>
  <c r="K32" i="1"/>
  <c r="K33" i="1"/>
  <c r="K34" i="1"/>
  <c r="K35" i="1"/>
  <c r="K36" i="1"/>
  <c r="K37" i="1"/>
  <c r="K38" i="1"/>
  <c r="K13" i="1"/>
  <c r="K403" i="1"/>
  <c r="K402" i="1"/>
  <c r="K401" i="1"/>
  <c r="K400" i="1"/>
  <c r="K398" i="1"/>
  <c r="K399" i="1"/>
  <c r="K397" i="1"/>
  <c r="K396" i="1"/>
  <c r="K395" i="1"/>
  <c r="K394" i="1"/>
  <c r="H239" i="1"/>
  <c r="F239" i="1"/>
  <c r="H237" i="1"/>
  <c r="F237" i="1"/>
  <c r="F236" i="1"/>
  <c r="H236" i="1"/>
  <c r="E239" i="1"/>
  <c r="E237" i="1"/>
  <c r="F148" i="1"/>
  <c r="G148" i="1"/>
  <c r="F144" i="1"/>
  <c r="G144" i="1"/>
  <c r="E148" i="1"/>
  <c r="E67" i="1"/>
  <c r="E68" i="1"/>
  <c r="E69" i="1"/>
  <c r="E70" i="1"/>
  <c r="E71" i="1"/>
  <c r="E72" i="1"/>
  <c r="E73" i="1"/>
  <c r="E74" i="1"/>
  <c r="E75" i="1"/>
  <c r="E76" i="1"/>
  <c r="E77" i="1"/>
  <c r="E78" i="1"/>
  <c r="E79" i="1"/>
  <c r="E80" i="1"/>
  <c r="F77" i="1"/>
  <c r="G77" i="1"/>
  <c r="F72" i="1"/>
  <c r="G72" i="1"/>
  <c r="F67" i="1"/>
  <c r="G67"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81" i="1"/>
  <c r="E85" i="1"/>
  <c r="E86" i="1"/>
  <c r="E87" i="1"/>
  <c r="E88" i="1"/>
  <c r="E89" i="1"/>
  <c r="E90" i="1"/>
  <c r="E91" i="1"/>
  <c r="E92" i="1"/>
  <c r="E95" i="1"/>
  <c r="E96" i="1"/>
  <c r="E97" i="1"/>
  <c r="E98" i="1"/>
  <c r="E99" i="1"/>
  <c r="E100" i="1"/>
  <c r="E101" i="1"/>
  <c r="E102" i="1"/>
  <c r="E103"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9" i="1"/>
  <c r="E140" i="1"/>
  <c r="E142" i="1"/>
  <c r="E143" i="1"/>
  <c r="E145" i="1"/>
  <c r="E146" i="1"/>
  <c r="E149" i="1"/>
  <c r="E150" i="1"/>
  <c r="E152" i="1"/>
  <c r="E153" i="1"/>
  <c r="E154" i="1"/>
  <c r="E155" i="1"/>
  <c r="E157" i="1"/>
  <c r="E158" i="1"/>
  <c r="E160" i="1"/>
  <c r="E161" i="1"/>
  <c r="E162" i="1"/>
  <c r="E163" i="1"/>
  <c r="E164" i="1"/>
  <c r="E165" i="1"/>
  <c r="E166" i="1"/>
  <c r="E167" i="1"/>
  <c r="E168" i="1"/>
  <c r="E169" i="1"/>
  <c r="E170" i="1"/>
  <c r="E171" i="1"/>
  <c r="E172" i="1"/>
  <c r="E173" i="1"/>
  <c r="E174" i="1"/>
  <c r="E175" i="1"/>
  <c r="E176" i="1"/>
  <c r="E177" i="1"/>
  <c r="E178" i="1"/>
  <c r="E179" i="1"/>
  <c r="E181" i="1"/>
  <c r="E186" i="1"/>
  <c r="E187" i="1"/>
  <c r="E188" i="1"/>
  <c r="E189"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20" i="1"/>
  <c r="E222" i="1"/>
  <c r="E224" i="1"/>
  <c r="E225" i="1"/>
  <c r="E227" i="1"/>
  <c r="E229" i="1"/>
  <c r="E231" i="1"/>
  <c r="E232" i="1"/>
  <c r="E233" i="1"/>
  <c r="E234" i="1"/>
  <c r="E235" i="1"/>
  <c r="E236" i="1"/>
  <c r="E238"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3" i="1"/>
  <c r="E354" i="1"/>
  <c r="E355" i="1"/>
  <c r="E356" i="1"/>
  <c r="E357" i="1"/>
  <c r="E358" i="1"/>
  <c r="E359" i="1"/>
  <c r="E360" i="1"/>
  <c r="E361" i="1"/>
  <c r="E362" i="1"/>
  <c r="E363" i="1"/>
  <c r="E364" i="1"/>
  <c r="E365" i="1"/>
  <c r="E366" i="1"/>
  <c r="E368" i="1"/>
  <c r="E369" i="1"/>
  <c r="E370" i="1"/>
  <c r="E372" i="1"/>
  <c r="E373" i="1"/>
  <c r="E374"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J393" i="1"/>
  <c r="I392" i="1"/>
  <c r="I393" i="1"/>
  <c r="J390" i="1"/>
  <c r="I389" i="1"/>
  <c r="J387" i="1"/>
  <c r="I386" i="1"/>
  <c r="I387" i="1"/>
  <c r="H385" i="1"/>
  <c r="H386" i="1"/>
  <c r="H387" i="1"/>
  <c r="H388" i="1"/>
  <c r="H389" i="1"/>
  <c r="H390" i="1"/>
  <c r="H391" i="1"/>
  <c r="H392" i="1"/>
  <c r="H393" i="1"/>
  <c r="F385" i="1"/>
  <c r="G385" i="1"/>
  <c r="F386" i="1"/>
  <c r="G386" i="1"/>
  <c r="F387" i="1"/>
  <c r="G387" i="1"/>
  <c r="F388" i="1"/>
  <c r="G388" i="1"/>
  <c r="F389" i="1"/>
  <c r="G389" i="1"/>
  <c r="F390" i="1"/>
  <c r="G390" i="1"/>
  <c r="F391" i="1"/>
  <c r="G391" i="1"/>
  <c r="F392" i="1"/>
  <c r="G392" i="1"/>
  <c r="F393" i="1"/>
  <c r="G393" i="1"/>
  <c r="G384" i="1"/>
  <c r="G383" i="1"/>
  <c r="G382" i="1"/>
  <c r="G381" i="1"/>
  <c r="G380" i="1"/>
  <c r="G379" i="1"/>
  <c r="G378" i="1"/>
  <c r="G377" i="1"/>
  <c r="G376" i="1"/>
  <c r="J354" i="1"/>
  <c r="J349" i="1"/>
  <c r="J345" i="1"/>
  <c r="I353" i="1"/>
  <c r="I354" i="1"/>
  <c r="I348" i="1"/>
  <c r="I349" i="1"/>
  <c r="I344" i="1"/>
  <c r="I345" i="1"/>
  <c r="H342" i="1"/>
  <c r="H343" i="1"/>
  <c r="H344" i="1"/>
  <c r="H345" i="1"/>
  <c r="H346" i="1"/>
  <c r="H347" i="1"/>
  <c r="H348" i="1"/>
  <c r="H349" i="1"/>
  <c r="H350" i="1"/>
  <c r="H351" i="1"/>
  <c r="H353" i="1"/>
  <c r="H354" i="1"/>
  <c r="G354" i="1"/>
  <c r="F354" i="1"/>
  <c r="G353" i="1"/>
  <c r="F353" i="1"/>
  <c r="G351" i="1"/>
  <c r="F351" i="1"/>
  <c r="G350" i="1"/>
  <c r="F350" i="1"/>
  <c r="G349" i="1"/>
  <c r="F349" i="1"/>
  <c r="G348" i="1"/>
  <c r="F348" i="1"/>
  <c r="G347" i="1"/>
  <c r="F347" i="1"/>
  <c r="G346" i="1"/>
  <c r="F346" i="1"/>
  <c r="G345" i="1"/>
  <c r="F345" i="1"/>
  <c r="G344" i="1"/>
  <c r="F344" i="1"/>
  <c r="G343" i="1"/>
  <c r="F343" i="1"/>
  <c r="G342" i="1"/>
  <c r="F342" i="1"/>
  <c r="J312" i="1"/>
  <c r="J313" i="1"/>
  <c r="J308" i="1"/>
  <c r="J309" i="1"/>
  <c r="J304" i="1"/>
  <c r="J305" i="1"/>
  <c r="I311" i="1"/>
  <c r="I312" i="1"/>
  <c r="I313" i="1"/>
  <c r="I307" i="1"/>
  <c r="I308" i="1"/>
  <c r="I309" i="1"/>
  <c r="I303" i="1"/>
  <c r="I304" i="1"/>
  <c r="I305" i="1"/>
  <c r="H302" i="1"/>
  <c r="H303" i="1"/>
  <c r="H304" i="1"/>
  <c r="H305" i="1"/>
  <c r="H306" i="1"/>
  <c r="H307" i="1"/>
  <c r="H308" i="1"/>
  <c r="H309" i="1"/>
  <c r="H310" i="1"/>
  <c r="H311" i="1"/>
  <c r="H312" i="1"/>
  <c r="H313" i="1"/>
  <c r="F302" i="1"/>
  <c r="G302" i="1"/>
  <c r="F303" i="1"/>
  <c r="G303" i="1"/>
  <c r="F304" i="1"/>
  <c r="G304" i="1"/>
  <c r="F305" i="1"/>
  <c r="G305" i="1"/>
  <c r="F306" i="1"/>
  <c r="G306" i="1"/>
  <c r="F307" i="1"/>
  <c r="G307" i="1"/>
  <c r="F308" i="1"/>
  <c r="G308" i="1"/>
  <c r="F309" i="1"/>
  <c r="G309" i="1"/>
  <c r="F310" i="1"/>
  <c r="G310" i="1"/>
  <c r="F311" i="1"/>
  <c r="G311" i="1"/>
  <c r="F312" i="1"/>
  <c r="G312" i="1"/>
  <c r="F313" i="1"/>
  <c r="G313" i="1"/>
  <c r="J300" i="1"/>
  <c r="J301" i="1"/>
  <c r="J296" i="1"/>
  <c r="J297" i="1"/>
  <c r="J292" i="1"/>
  <c r="J293" i="1"/>
  <c r="I299" i="1"/>
  <c r="I300" i="1"/>
  <c r="I301" i="1"/>
  <c r="I295" i="1"/>
  <c r="I296" i="1"/>
  <c r="I297" i="1"/>
  <c r="I291" i="1"/>
  <c r="I292" i="1"/>
  <c r="I293" i="1"/>
  <c r="H290" i="1"/>
  <c r="H291" i="1"/>
  <c r="H292" i="1"/>
  <c r="H293" i="1"/>
  <c r="H294" i="1"/>
  <c r="H295" i="1"/>
  <c r="H296" i="1"/>
  <c r="H297" i="1"/>
  <c r="H298" i="1"/>
  <c r="H299" i="1"/>
  <c r="H300" i="1"/>
  <c r="H301" i="1"/>
  <c r="F290" i="1"/>
  <c r="G290" i="1"/>
  <c r="F291" i="1"/>
  <c r="G291" i="1"/>
  <c r="F292" i="1"/>
  <c r="G292" i="1"/>
  <c r="F293" i="1"/>
  <c r="G293" i="1"/>
  <c r="F294" i="1"/>
  <c r="G294" i="1"/>
  <c r="F295" i="1"/>
  <c r="G295" i="1"/>
  <c r="F296" i="1"/>
  <c r="G296" i="1"/>
  <c r="F297" i="1"/>
  <c r="G297" i="1"/>
  <c r="F298" i="1"/>
  <c r="G298" i="1"/>
  <c r="F299" i="1"/>
  <c r="G299" i="1"/>
  <c r="F300" i="1"/>
  <c r="G300" i="1"/>
  <c r="F301" i="1"/>
  <c r="G301" i="1"/>
  <c r="J286" i="1"/>
  <c r="J283" i="1"/>
  <c r="I288" i="1"/>
  <c r="I289" i="1"/>
  <c r="I285" i="1"/>
  <c r="I286" i="1"/>
  <c r="I282" i="1"/>
  <c r="I283" i="1"/>
  <c r="H281" i="1"/>
  <c r="H282" i="1"/>
  <c r="H283" i="1"/>
  <c r="H284" i="1"/>
  <c r="H285" i="1"/>
  <c r="H286" i="1"/>
  <c r="H287" i="1"/>
  <c r="H288" i="1"/>
  <c r="H289" i="1"/>
  <c r="F281" i="1"/>
  <c r="G281" i="1"/>
  <c r="F282" i="1"/>
  <c r="G282" i="1"/>
  <c r="F283" i="1"/>
  <c r="G283" i="1"/>
  <c r="F284" i="1"/>
  <c r="G284" i="1"/>
  <c r="F285" i="1"/>
  <c r="G285" i="1"/>
  <c r="F286" i="1"/>
  <c r="G286" i="1"/>
  <c r="F287" i="1"/>
  <c r="G287" i="1"/>
  <c r="F288" i="1"/>
  <c r="G288" i="1"/>
  <c r="F289" i="1"/>
  <c r="G289" i="1"/>
  <c r="J280" i="1"/>
  <c r="I279" i="1"/>
  <c r="I280" i="1"/>
  <c r="J277" i="1"/>
  <c r="I276" i="1"/>
  <c r="I277" i="1"/>
  <c r="J274" i="1"/>
  <c r="I273" i="1"/>
  <c r="I274" i="1"/>
  <c r="H272" i="1"/>
  <c r="H273" i="1"/>
  <c r="H274" i="1"/>
  <c r="H275" i="1"/>
  <c r="H276" i="1"/>
  <c r="H277" i="1"/>
  <c r="H278" i="1"/>
  <c r="H279" i="1"/>
  <c r="H280" i="1"/>
  <c r="F272" i="1"/>
  <c r="G272" i="1"/>
  <c r="F273" i="1"/>
  <c r="G273" i="1"/>
  <c r="F274" i="1"/>
  <c r="G274" i="1"/>
  <c r="F275" i="1"/>
  <c r="F276" i="1"/>
  <c r="G276" i="1"/>
  <c r="F277" i="1"/>
  <c r="G277" i="1"/>
  <c r="F278" i="1"/>
  <c r="G278" i="1"/>
  <c r="F279" i="1"/>
  <c r="G279" i="1"/>
  <c r="F280" i="1"/>
  <c r="G280" i="1"/>
  <c r="J270" i="1"/>
  <c r="J271" i="1"/>
  <c r="J266" i="1"/>
  <c r="J267" i="1"/>
  <c r="J262" i="1"/>
  <c r="J263" i="1"/>
  <c r="I269" i="1"/>
  <c r="I270" i="1"/>
  <c r="I271" i="1"/>
  <c r="I265" i="1"/>
  <c r="I266" i="1"/>
  <c r="I267" i="1"/>
  <c r="I261" i="1"/>
  <c r="I262" i="1"/>
  <c r="I263" i="1"/>
  <c r="H260" i="1"/>
  <c r="H261" i="1"/>
  <c r="H262" i="1"/>
  <c r="H263" i="1"/>
  <c r="H264" i="1"/>
  <c r="H265" i="1"/>
  <c r="H266" i="1"/>
  <c r="H267" i="1"/>
  <c r="H268" i="1"/>
  <c r="H269" i="1"/>
  <c r="H270" i="1"/>
  <c r="H271" i="1"/>
  <c r="F260" i="1"/>
  <c r="G260" i="1"/>
  <c r="F261" i="1"/>
  <c r="G261" i="1"/>
  <c r="F262" i="1"/>
  <c r="G262" i="1"/>
  <c r="F263" i="1"/>
  <c r="G263" i="1"/>
  <c r="F264" i="1"/>
  <c r="G264" i="1"/>
  <c r="F265" i="1"/>
  <c r="G265" i="1"/>
  <c r="F266" i="1"/>
  <c r="G266" i="1"/>
  <c r="F267" i="1"/>
  <c r="G267" i="1"/>
  <c r="F268" i="1"/>
  <c r="G268" i="1"/>
  <c r="F269" i="1"/>
  <c r="G269" i="1"/>
  <c r="F270" i="1"/>
  <c r="G270" i="1"/>
  <c r="F271" i="1"/>
  <c r="G271" i="1"/>
  <c r="J258" i="1"/>
  <c r="J259" i="1"/>
  <c r="J254" i="1"/>
  <c r="J255" i="1"/>
  <c r="J250" i="1"/>
  <c r="J251" i="1"/>
  <c r="I257" i="1"/>
  <c r="I258" i="1"/>
  <c r="I259" i="1"/>
  <c r="I253" i="1"/>
  <c r="I254" i="1"/>
  <c r="I255" i="1"/>
  <c r="I249" i="1"/>
  <c r="I250" i="1"/>
  <c r="I251" i="1"/>
  <c r="H248" i="1"/>
  <c r="H249" i="1"/>
  <c r="H250" i="1"/>
  <c r="H251" i="1"/>
  <c r="H252" i="1"/>
  <c r="H253" i="1"/>
  <c r="H254" i="1"/>
  <c r="H255" i="1"/>
  <c r="H256" i="1"/>
  <c r="H257" i="1"/>
  <c r="H258" i="1"/>
  <c r="H259" i="1"/>
  <c r="G259" i="1"/>
  <c r="F259" i="1"/>
  <c r="G258" i="1"/>
  <c r="F258" i="1"/>
  <c r="G257" i="1"/>
  <c r="F257" i="1"/>
  <c r="G256" i="1"/>
  <c r="F256" i="1"/>
  <c r="G255" i="1"/>
  <c r="F255" i="1"/>
  <c r="G254" i="1"/>
  <c r="F254" i="1"/>
  <c r="G253" i="1"/>
  <c r="F253" i="1"/>
  <c r="G252" i="1"/>
  <c r="F252" i="1"/>
  <c r="G251" i="1"/>
  <c r="F251" i="1"/>
  <c r="G250" i="1"/>
  <c r="F250" i="1"/>
  <c r="G249" i="1"/>
  <c r="F249" i="1"/>
  <c r="G248" i="1"/>
  <c r="F248" i="1"/>
  <c r="J227" i="1"/>
  <c r="J229" i="1"/>
  <c r="J220" i="1"/>
  <c r="J215" i="1"/>
  <c r="J216" i="1"/>
  <c r="I225" i="1"/>
  <c r="I227" i="1"/>
  <c r="I229" i="1"/>
  <c r="I218" i="1"/>
  <c r="I220" i="1"/>
  <c r="I214" i="1"/>
  <c r="I215" i="1"/>
  <c r="I216" i="1"/>
  <c r="H213" i="1"/>
  <c r="H214" i="1"/>
  <c r="H215" i="1"/>
  <c r="H216" i="1"/>
  <c r="H217" i="1"/>
  <c r="H218" i="1"/>
  <c r="H220" i="1"/>
  <c r="H224" i="1"/>
  <c r="H225" i="1"/>
  <c r="H227" i="1"/>
  <c r="H229" i="1"/>
  <c r="G229" i="1"/>
  <c r="F229" i="1"/>
  <c r="G227" i="1"/>
  <c r="F227" i="1"/>
  <c r="G225" i="1"/>
  <c r="G224" i="1"/>
  <c r="F224" i="1"/>
  <c r="G220" i="1"/>
  <c r="F220" i="1"/>
  <c r="G218" i="1"/>
  <c r="F218" i="1"/>
  <c r="G217" i="1"/>
  <c r="F217" i="1"/>
  <c r="G216" i="1"/>
  <c r="F216" i="1"/>
  <c r="G215" i="1"/>
  <c r="F215" i="1"/>
  <c r="G214" i="1"/>
  <c r="F214" i="1"/>
  <c r="G213" i="1"/>
  <c r="F213" i="1"/>
  <c r="J189" i="1"/>
  <c r="I188" i="1"/>
  <c r="I189" i="1"/>
  <c r="J184" i="1"/>
  <c r="I183" i="1"/>
  <c r="I184" i="1"/>
  <c r="J179" i="1"/>
  <c r="I178" i="1"/>
  <c r="I179" i="1"/>
  <c r="H176" i="1"/>
  <c r="H177" i="1"/>
  <c r="H178" i="1"/>
  <c r="H179" i="1"/>
  <c r="H181" i="1"/>
  <c r="H182" i="1"/>
  <c r="H183" i="1"/>
  <c r="H184" i="1"/>
  <c r="H186" i="1"/>
  <c r="H187" i="1"/>
  <c r="H188" i="1"/>
  <c r="H189" i="1"/>
  <c r="F176" i="1"/>
  <c r="G176" i="1"/>
  <c r="F177" i="1"/>
  <c r="G177" i="1"/>
  <c r="F178" i="1"/>
  <c r="G178" i="1"/>
  <c r="F179" i="1"/>
  <c r="G179" i="1"/>
  <c r="F181" i="1"/>
  <c r="G181" i="1"/>
  <c r="F182" i="1"/>
  <c r="G182" i="1"/>
  <c r="F183" i="1"/>
  <c r="G183" i="1"/>
  <c r="F184" i="1"/>
  <c r="G184" i="1"/>
  <c r="F186" i="1"/>
  <c r="G186" i="1"/>
  <c r="F187" i="1"/>
  <c r="G187" i="1"/>
  <c r="F188" i="1"/>
  <c r="G188" i="1"/>
  <c r="F189" i="1"/>
  <c r="G189" i="1"/>
  <c r="J174" i="1"/>
  <c r="J175" i="1"/>
  <c r="J169" i="1"/>
  <c r="J170" i="1"/>
  <c r="J164" i="1"/>
  <c r="J165" i="1"/>
  <c r="I172" i="1"/>
  <c r="I173" i="1"/>
  <c r="I174" i="1"/>
  <c r="I175" i="1"/>
  <c r="I167" i="1"/>
  <c r="I168" i="1"/>
  <c r="I169" i="1"/>
  <c r="I170" i="1"/>
  <c r="I162" i="1"/>
  <c r="I163" i="1"/>
  <c r="I164" i="1"/>
  <c r="I165" i="1"/>
  <c r="H161" i="1"/>
  <c r="H162" i="1"/>
  <c r="H163" i="1"/>
  <c r="H164" i="1"/>
  <c r="H165" i="1"/>
  <c r="H166" i="1"/>
  <c r="H167" i="1"/>
  <c r="H168" i="1"/>
  <c r="H169" i="1"/>
  <c r="H170" i="1"/>
  <c r="H171" i="1"/>
  <c r="H172" i="1"/>
  <c r="H173" i="1"/>
  <c r="H174" i="1"/>
  <c r="H175"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J158" i="1"/>
  <c r="J160" i="1"/>
  <c r="J150" i="1"/>
  <c r="J152" i="1"/>
  <c r="J140" i="1"/>
  <c r="J142" i="1"/>
  <c r="I155" i="1"/>
  <c r="I157" i="1"/>
  <c r="I158" i="1"/>
  <c r="Q158" i="1" s="1"/>
  <c r="I160" i="1"/>
  <c r="Q160" i="1" s="1"/>
  <c r="I146" i="1"/>
  <c r="I149" i="1"/>
  <c r="I150" i="1"/>
  <c r="Q150" i="1" s="1"/>
  <c r="I152" i="1"/>
  <c r="Q152" i="1" s="1"/>
  <c r="I137" i="1"/>
  <c r="I139" i="1"/>
  <c r="I140" i="1"/>
  <c r="Q140" i="1" s="1"/>
  <c r="I142" i="1"/>
  <c r="Q142" i="1" s="1"/>
  <c r="H135" i="1"/>
  <c r="H136" i="1"/>
  <c r="H137" i="1"/>
  <c r="P137" i="1" s="1"/>
  <c r="H139" i="1"/>
  <c r="P139" i="1" s="1"/>
  <c r="H140" i="1"/>
  <c r="P140" i="1" s="1"/>
  <c r="H142" i="1"/>
  <c r="P142" i="1" s="1"/>
  <c r="H143" i="1"/>
  <c r="H145" i="1"/>
  <c r="H146" i="1"/>
  <c r="P146" i="1" s="1"/>
  <c r="H149" i="1"/>
  <c r="P149" i="1" s="1"/>
  <c r="H150" i="1"/>
  <c r="P150" i="1" s="1"/>
  <c r="H152" i="1"/>
  <c r="P152" i="1" s="1"/>
  <c r="H153" i="1"/>
  <c r="H154" i="1"/>
  <c r="H155" i="1"/>
  <c r="P155" i="1" s="1"/>
  <c r="H157" i="1"/>
  <c r="H158" i="1"/>
  <c r="P158" i="1" s="1"/>
  <c r="H160" i="1"/>
  <c r="P160" i="1" s="1"/>
  <c r="F135" i="1"/>
  <c r="G135" i="1"/>
  <c r="F136" i="1"/>
  <c r="G136" i="1"/>
  <c r="F137" i="1"/>
  <c r="G137" i="1"/>
  <c r="F139" i="1"/>
  <c r="G139" i="1"/>
  <c r="F140" i="1"/>
  <c r="G140" i="1"/>
  <c r="F142" i="1"/>
  <c r="G142" i="1"/>
  <c r="F143" i="1"/>
  <c r="G143" i="1"/>
  <c r="F145" i="1"/>
  <c r="G145" i="1"/>
  <c r="F146" i="1"/>
  <c r="G146" i="1"/>
  <c r="F149" i="1"/>
  <c r="G149" i="1"/>
  <c r="F150" i="1"/>
  <c r="G150" i="1"/>
  <c r="F152" i="1"/>
  <c r="G152" i="1"/>
  <c r="F153" i="1"/>
  <c r="G153" i="1"/>
  <c r="F154" i="1"/>
  <c r="G154" i="1"/>
  <c r="F155" i="1"/>
  <c r="Q155" i="1" s="1"/>
  <c r="G155" i="1"/>
  <c r="F157" i="1"/>
  <c r="G157" i="1"/>
  <c r="F158" i="1"/>
  <c r="G158" i="1"/>
  <c r="F160" i="1"/>
  <c r="G160" i="1"/>
  <c r="J133" i="1"/>
  <c r="J134" i="1"/>
  <c r="J129" i="1"/>
  <c r="J130" i="1"/>
  <c r="J125" i="1"/>
  <c r="J126" i="1"/>
  <c r="I132" i="1"/>
  <c r="I133" i="1"/>
  <c r="I134" i="1"/>
  <c r="I128" i="1"/>
  <c r="I129" i="1"/>
  <c r="I130" i="1"/>
  <c r="I124" i="1"/>
  <c r="I125" i="1"/>
  <c r="I126" i="1"/>
  <c r="H123" i="1"/>
  <c r="H124" i="1"/>
  <c r="H125" i="1"/>
  <c r="H126" i="1"/>
  <c r="H127" i="1"/>
  <c r="H128" i="1"/>
  <c r="H129" i="1"/>
  <c r="H130" i="1"/>
  <c r="H131" i="1"/>
  <c r="H132" i="1"/>
  <c r="H133" i="1"/>
  <c r="H134" i="1"/>
  <c r="F123" i="1"/>
  <c r="G123" i="1"/>
  <c r="F124" i="1"/>
  <c r="G124" i="1"/>
  <c r="F125" i="1"/>
  <c r="G125" i="1"/>
  <c r="F126" i="1"/>
  <c r="G126" i="1"/>
  <c r="F127" i="1"/>
  <c r="G127" i="1"/>
  <c r="F128" i="1"/>
  <c r="G128" i="1"/>
  <c r="F129" i="1"/>
  <c r="G129" i="1"/>
  <c r="F130" i="1"/>
  <c r="G130" i="1"/>
  <c r="F131" i="1"/>
  <c r="G131" i="1"/>
  <c r="F132" i="1"/>
  <c r="G132" i="1"/>
  <c r="F133" i="1"/>
  <c r="G133" i="1"/>
  <c r="F134" i="1"/>
  <c r="G134" i="1"/>
  <c r="J122" i="1"/>
  <c r="J119" i="1"/>
  <c r="J116" i="1"/>
  <c r="I121" i="1"/>
  <c r="I122" i="1"/>
  <c r="I118" i="1"/>
  <c r="I119" i="1"/>
  <c r="I115" i="1"/>
  <c r="I116" i="1"/>
  <c r="H114" i="1"/>
  <c r="H115" i="1"/>
  <c r="H116" i="1"/>
  <c r="H117" i="1"/>
  <c r="P117" i="1" s="1"/>
  <c r="H118" i="1"/>
  <c r="H119" i="1"/>
  <c r="H120" i="1"/>
  <c r="P120" i="1" s="1"/>
  <c r="H121" i="1"/>
  <c r="H122" i="1"/>
  <c r="G122" i="1"/>
  <c r="F122" i="1"/>
  <c r="G121" i="1"/>
  <c r="F121" i="1"/>
  <c r="G120" i="1"/>
  <c r="F120" i="1"/>
  <c r="G119" i="1"/>
  <c r="F119" i="1"/>
  <c r="G118" i="1"/>
  <c r="F118" i="1"/>
  <c r="G117" i="1"/>
  <c r="F117" i="1"/>
  <c r="G116" i="1"/>
  <c r="F116" i="1"/>
  <c r="G115" i="1"/>
  <c r="F115" i="1"/>
  <c r="G114" i="1"/>
  <c r="F114" i="1"/>
  <c r="J79" i="1"/>
  <c r="J80" i="1"/>
  <c r="I78" i="1"/>
  <c r="I79" i="1"/>
  <c r="I80" i="1"/>
  <c r="J74" i="1"/>
  <c r="J75" i="1"/>
  <c r="I73" i="1"/>
  <c r="I74" i="1"/>
  <c r="I75" i="1"/>
  <c r="J69" i="1"/>
  <c r="J70" i="1"/>
  <c r="I68" i="1"/>
  <c r="I69" i="1"/>
  <c r="I70" i="1"/>
  <c r="H66" i="1"/>
  <c r="H68" i="1"/>
  <c r="H69" i="1"/>
  <c r="H70" i="1"/>
  <c r="H71" i="1"/>
  <c r="H73" i="1"/>
  <c r="H74" i="1"/>
  <c r="H75" i="1"/>
  <c r="H76" i="1"/>
  <c r="H78" i="1"/>
  <c r="H79" i="1"/>
  <c r="H80" i="1"/>
  <c r="F66" i="1"/>
  <c r="G66" i="1"/>
  <c r="F68" i="1"/>
  <c r="G68" i="1"/>
  <c r="F69" i="1"/>
  <c r="G69" i="1"/>
  <c r="F70" i="1"/>
  <c r="G70" i="1"/>
  <c r="F71" i="1"/>
  <c r="G71" i="1"/>
  <c r="F73" i="1"/>
  <c r="G73" i="1"/>
  <c r="F74" i="1"/>
  <c r="G74" i="1"/>
  <c r="F75" i="1"/>
  <c r="G75" i="1"/>
  <c r="F76" i="1"/>
  <c r="G76" i="1"/>
  <c r="F78" i="1"/>
  <c r="G78" i="1"/>
  <c r="F79" i="1"/>
  <c r="G79" i="1"/>
  <c r="F80" i="1"/>
  <c r="G80" i="1"/>
  <c r="F81" i="1"/>
  <c r="F84" i="1"/>
  <c r="F88" i="1"/>
  <c r="F92" i="1"/>
  <c r="F95" i="1"/>
  <c r="Q95" i="1" s="1"/>
  <c r="F96" i="1"/>
  <c r="F97" i="1"/>
  <c r="F98" i="1"/>
  <c r="F99" i="1"/>
  <c r="F100" i="1"/>
  <c r="F101" i="1"/>
  <c r="F102" i="1"/>
  <c r="F103" i="1"/>
  <c r="F106" i="1"/>
  <c r="Q106" i="1" s="1"/>
  <c r="F107" i="1"/>
  <c r="F108" i="1"/>
  <c r="F109" i="1"/>
  <c r="F110" i="1"/>
  <c r="F111" i="1"/>
  <c r="F112" i="1"/>
  <c r="F113" i="1"/>
  <c r="J56" i="1"/>
  <c r="J53" i="1"/>
  <c r="J50" i="1"/>
  <c r="I55" i="1"/>
  <c r="I56" i="1"/>
  <c r="I52" i="1"/>
  <c r="I53" i="1"/>
  <c r="I49" i="1"/>
  <c r="I50" i="1"/>
  <c r="H48" i="1"/>
  <c r="H49" i="1"/>
  <c r="H50" i="1"/>
  <c r="H51" i="1"/>
  <c r="H52" i="1"/>
  <c r="H53" i="1"/>
  <c r="H54" i="1"/>
  <c r="H55" i="1"/>
  <c r="H56" i="1"/>
  <c r="G49" i="1"/>
  <c r="G50" i="1"/>
  <c r="G51" i="1"/>
  <c r="G52" i="1"/>
  <c r="G53" i="1"/>
  <c r="G54" i="1"/>
  <c r="G55" i="1"/>
  <c r="G56" i="1"/>
  <c r="F56" i="1"/>
  <c r="F55" i="1"/>
  <c r="F54" i="1"/>
  <c r="F53" i="1"/>
  <c r="F52" i="1"/>
  <c r="F51" i="1"/>
  <c r="F50" i="1"/>
  <c r="F49" i="1"/>
  <c r="G48" i="1"/>
  <c r="F48" i="1"/>
  <c r="H12" i="1"/>
  <c r="I12" i="1"/>
  <c r="J12" i="1"/>
  <c r="I11" i="1"/>
  <c r="H11" i="1"/>
  <c r="H10" i="1"/>
  <c r="H9" i="1"/>
  <c r="I9" i="1"/>
  <c r="J9" i="1"/>
  <c r="H8" i="1"/>
  <c r="I8" i="1"/>
  <c r="H7" i="1"/>
  <c r="H6" i="1"/>
  <c r="I6" i="1"/>
  <c r="J6" i="1"/>
  <c r="H5" i="1"/>
  <c r="I5" i="1"/>
  <c r="H4" i="1"/>
  <c r="F13" i="1"/>
  <c r="G13" i="1"/>
  <c r="F14" i="1"/>
  <c r="P14" i="1" s="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4" i="1"/>
  <c r="G4" i="1"/>
  <c r="F5" i="1"/>
  <c r="G5" i="1"/>
  <c r="F6" i="1"/>
  <c r="G6" i="1"/>
  <c r="F7" i="1"/>
  <c r="P7" i="1" s="1"/>
  <c r="G7" i="1"/>
  <c r="F8" i="1"/>
  <c r="G8" i="1"/>
  <c r="F9" i="1"/>
  <c r="G9" i="1"/>
  <c r="F10" i="1"/>
  <c r="G10" i="1"/>
  <c r="F11" i="1"/>
  <c r="G11" i="1"/>
  <c r="F12" i="1"/>
  <c r="G12" i="1"/>
  <c r="F340" i="1"/>
  <c r="G340" i="1" s="1"/>
  <c r="F336" i="1"/>
  <c r="F335" i="1"/>
  <c r="G335" i="1" s="1"/>
  <c r="G406" i="1"/>
  <c r="G405" i="1"/>
  <c r="G404" i="1"/>
  <c r="F406" i="1"/>
  <c r="F405" i="1"/>
  <c r="F404" i="1"/>
  <c r="F403" i="1"/>
  <c r="F402" i="1"/>
  <c r="F401" i="1"/>
  <c r="F400" i="1"/>
  <c r="F399" i="1"/>
  <c r="F398" i="1"/>
  <c r="F397" i="1"/>
  <c r="F396" i="1"/>
  <c r="F395" i="1"/>
  <c r="F394" i="1"/>
  <c r="J374" i="1"/>
  <c r="I374" i="1"/>
  <c r="H374" i="1"/>
  <c r="F374" i="1"/>
  <c r="I373" i="1"/>
  <c r="H373" i="1"/>
  <c r="F373" i="1"/>
  <c r="H372" i="1"/>
  <c r="F372" i="1"/>
  <c r="J370" i="1"/>
  <c r="I370" i="1"/>
  <c r="H370" i="1"/>
  <c r="F370" i="1"/>
  <c r="I369" i="1"/>
  <c r="H369" i="1"/>
  <c r="F369" i="1"/>
  <c r="H368" i="1"/>
  <c r="F368" i="1"/>
  <c r="J366" i="1"/>
  <c r="I366" i="1"/>
  <c r="H366" i="1"/>
  <c r="F366" i="1"/>
  <c r="I365" i="1"/>
  <c r="H365" i="1"/>
  <c r="F365" i="1"/>
  <c r="H364" i="1"/>
  <c r="F364" i="1"/>
  <c r="F341" i="1"/>
  <c r="G341" i="1" s="1"/>
  <c r="F339" i="1"/>
  <c r="G339" i="1" s="1"/>
  <c r="F338" i="1"/>
  <c r="G338" i="1" s="1"/>
  <c r="F337" i="1"/>
  <c r="G337" i="1" s="1"/>
  <c r="F334" i="1"/>
  <c r="G334" i="1" s="1"/>
  <c r="F333" i="1"/>
  <c r="F332" i="1"/>
  <c r="G332" i="1" s="1"/>
  <c r="F331" i="1"/>
  <c r="G331" i="1" s="1"/>
  <c r="F330" i="1"/>
  <c r="G330" i="1" s="1"/>
  <c r="F329" i="1"/>
  <c r="G329" i="1" s="1"/>
  <c r="J328" i="1"/>
  <c r="I328" i="1"/>
  <c r="F328" i="1"/>
  <c r="I327" i="1"/>
  <c r="F327" i="1"/>
  <c r="I326" i="1"/>
  <c r="F326" i="1"/>
  <c r="I325" i="1"/>
  <c r="F325" i="1"/>
  <c r="F324" i="1"/>
  <c r="J323" i="1"/>
  <c r="I323" i="1"/>
  <c r="F323" i="1"/>
  <c r="I322" i="1"/>
  <c r="F322" i="1"/>
  <c r="I321" i="1"/>
  <c r="F321" i="1"/>
  <c r="I320" i="1"/>
  <c r="F320" i="1"/>
  <c r="F319" i="1"/>
  <c r="J318" i="1"/>
  <c r="I318" i="1"/>
  <c r="F318" i="1"/>
  <c r="I317" i="1"/>
  <c r="F317" i="1"/>
  <c r="I316" i="1"/>
  <c r="F316" i="1"/>
  <c r="I315" i="1"/>
  <c r="F315" i="1"/>
  <c r="F314" i="1"/>
  <c r="J247" i="1"/>
  <c r="I247" i="1"/>
  <c r="H247" i="1"/>
  <c r="F247" i="1"/>
  <c r="J246" i="1"/>
  <c r="I246" i="1"/>
  <c r="H246" i="1"/>
  <c r="F246" i="1"/>
  <c r="J245" i="1"/>
  <c r="I245" i="1"/>
  <c r="H245" i="1"/>
  <c r="F245" i="1"/>
  <c r="I244" i="1"/>
  <c r="H244" i="1"/>
  <c r="F244" i="1"/>
  <c r="H243" i="1"/>
  <c r="F243" i="1"/>
  <c r="P243" i="1" s="1"/>
  <c r="J242" i="1"/>
  <c r="I242" i="1"/>
  <c r="H242" i="1"/>
  <c r="F242" i="1"/>
  <c r="J241" i="1"/>
  <c r="I241" i="1"/>
  <c r="H241" i="1"/>
  <c r="F241" i="1"/>
  <c r="J240" i="1"/>
  <c r="I240" i="1"/>
  <c r="H240" i="1"/>
  <c r="F240" i="1"/>
  <c r="I238" i="1"/>
  <c r="H238" i="1"/>
  <c r="F238" i="1"/>
  <c r="J235" i="1"/>
  <c r="I235" i="1"/>
  <c r="H235" i="1"/>
  <c r="F235" i="1"/>
  <c r="J234" i="1"/>
  <c r="I234" i="1"/>
  <c r="H234" i="1"/>
  <c r="F234" i="1"/>
  <c r="J233" i="1"/>
  <c r="I233" i="1"/>
  <c r="H233" i="1"/>
  <c r="F233" i="1"/>
  <c r="I232" i="1"/>
  <c r="H232" i="1"/>
  <c r="F232" i="1"/>
  <c r="H231" i="1"/>
  <c r="F231" i="1"/>
  <c r="J212" i="1"/>
  <c r="I212" i="1"/>
  <c r="H212" i="1"/>
  <c r="F212" i="1"/>
  <c r="I211" i="1"/>
  <c r="H211" i="1"/>
  <c r="F211" i="1"/>
  <c r="H210" i="1"/>
  <c r="F210" i="1"/>
  <c r="J209" i="1"/>
  <c r="I209" i="1"/>
  <c r="H209" i="1"/>
  <c r="F209" i="1"/>
  <c r="I208" i="1"/>
  <c r="H208" i="1"/>
  <c r="F208" i="1"/>
  <c r="H207" i="1"/>
  <c r="F207" i="1"/>
  <c r="J206" i="1"/>
  <c r="I206" i="1"/>
  <c r="H206" i="1"/>
  <c r="F206" i="1"/>
  <c r="I205" i="1"/>
  <c r="H205" i="1"/>
  <c r="F205" i="1"/>
  <c r="H204" i="1"/>
  <c r="F204" i="1"/>
  <c r="J65" i="1"/>
  <c r="I65" i="1"/>
  <c r="H65" i="1"/>
  <c r="F65" i="1"/>
  <c r="I64" i="1"/>
  <c r="H64" i="1"/>
  <c r="F64" i="1"/>
  <c r="H63" i="1"/>
  <c r="F63" i="1"/>
  <c r="J62" i="1"/>
  <c r="I62" i="1"/>
  <c r="H62" i="1"/>
  <c r="F62" i="1"/>
  <c r="I61" i="1"/>
  <c r="H61" i="1"/>
  <c r="F61" i="1"/>
  <c r="H60" i="1"/>
  <c r="F60" i="1"/>
  <c r="J59" i="1"/>
  <c r="I59" i="1"/>
  <c r="H59" i="1"/>
  <c r="F59" i="1"/>
  <c r="I58" i="1"/>
  <c r="H58" i="1"/>
  <c r="F58" i="1"/>
  <c r="H57" i="1"/>
  <c r="F57" i="1"/>
  <c r="G57" i="6"/>
  <c r="G57" i="1" s="1"/>
  <c r="G58" i="6"/>
  <c r="G58" i="1" s="1"/>
  <c r="G59" i="6"/>
  <c r="G59" i="1" s="1"/>
  <c r="G60" i="6"/>
  <c r="G60" i="1" s="1"/>
  <c r="G61" i="6"/>
  <c r="G61" i="1" s="1"/>
  <c r="G62" i="6"/>
  <c r="G62" i="1" s="1"/>
  <c r="G63" i="6"/>
  <c r="G63" i="1" s="1"/>
  <c r="G64" i="6"/>
  <c r="G64" i="1" s="1"/>
  <c r="G65" i="6"/>
  <c r="G65" i="1" s="1"/>
  <c r="J384" i="6"/>
  <c r="J384" i="1" s="1"/>
  <c r="I383" i="6"/>
  <c r="I383" i="1" s="1"/>
  <c r="H382" i="6"/>
  <c r="H382" i="1" s="1"/>
  <c r="J381" i="6"/>
  <c r="J381" i="1" s="1"/>
  <c r="I380" i="6"/>
  <c r="I380" i="1" s="1"/>
  <c r="H379" i="6"/>
  <c r="H379" i="1" s="1"/>
  <c r="J378" i="6"/>
  <c r="J378" i="1" s="1"/>
  <c r="I377" i="6"/>
  <c r="I377" i="1" s="1"/>
  <c r="H376" i="6"/>
  <c r="H376" i="1" s="1"/>
  <c r="R374" i="1" l="1"/>
  <c r="S157" i="1"/>
  <c r="Q139" i="1"/>
  <c r="Q149" i="1"/>
  <c r="S149" i="1" s="1"/>
  <c r="S139" i="1"/>
  <c r="S148" i="1"/>
  <c r="P148" i="1"/>
  <c r="Q137" i="1"/>
  <c r="S137" i="1" s="1"/>
  <c r="Q146" i="1"/>
  <c r="S146" i="1" s="1"/>
  <c r="S384" i="1"/>
  <c r="S381" i="1"/>
  <c r="S378" i="1"/>
  <c r="S383" i="1"/>
  <c r="R158" i="1"/>
  <c r="R152" i="1"/>
  <c r="S152" i="1" s="1"/>
  <c r="R150" i="1"/>
  <c r="S150" i="1" s="1"/>
  <c r="R142" i="1"/>
  <c r="S142" i="1" s="1"/>
  <c r="R140" i="1"/>
  <c r="S140" i="1" s="1"/>
  <c r="R160" i="1"/>
  <c r="S160" i="1" s="1"/>
  <c r="S380" i="1"/>
  <c r="S377" i="1"/>
  <c r="R165" i="1"/>
  <c r="S165" i="1"/>
  <c r="R164" i="1"/>
  <c r="S164" i="1" s="1"/>
  <c r="S163" i="1"/>
  <c r="S162" i="1"/>
  <c r="P236" i="1"/>
  <c r="S403" i="1"/>
  <c r="S396" i="1"/>
  <c r="S398" i="1"/>
  <c r="R401" i="1"/>
  <c r="S401" i="1" s="1"/>
  <c r="S402" i="1"/>
  <c r="S397" i="1"/>
  <c r="R79" i="1"/>
  <c r="R80" i="1"/>
  <c r="R74" i="1"/>
  <c r="R75" i="1"/>
  <c r="R70" i="1"/>
  <c r="R418" i="1"/>
  <c r="S418" i="1" s="1"/>
  <c r="R69" i="1"/>
  <c r="R179" i="1"/>
  <c r="S179" i="1" s="1"/>
  <c r="P4" i="1"/>
  <c r="S4" i="1" s="1"/>
  <c r="P10" i="1"/>
  <c r="S10" i="1" s="1"/>
  <c r="P13" i="1"/>
  <c r="S13" i="1"/>
  <c r="S340" i="1"/>
  <c r="R215" i="1"/>
  <c r="Q221" i="1"/>
  <c r="Q228" i="1"/>
  <c r="P216" i="1"/>
  <c r="P215" i="1"/>
  <c r="Q223" i="1"/>
  <c r="P230" i="1"/>
  <c r="Q225" i="1"/>
  <c r="Q226" i="1"/>
  <c r="S89" i="1"/>
  <c r="S90" i="1"/>
  <c r="S91" i="1"/>
  <c r="S6" i="1"/>
  <c r="S88" i="1"/>
  <c r="S174" i="1"/>
  <c r="S41" i="1"/>
  <c r="S343" i="1"/>
  <c r="S319" i="1"/>
  <c r="S72" i="1"/>
  <c r="S350" i="1"/>
  <c r="S342" i="1"/>
  <c r="S67" i="1"/>
  <c r="S324" i="1"/>
  <c r="S105" i="1"/>
  <c r="S104" i="1"/>
  <c r="S103" i="1"/>
  <c r="S94" i="1"/>
  <c r="S93" i="1"/>
  <c r="S126" i="1"/>
  <c r="S399" i="1"/>
  <c r="S394" i="1"/>
  <c r="S101" i="1"/>
  <c r="S102" i="1"/>
  <c r="S100" i="1"/>
  <c r="S106" i="1"/>
  <c r="S95" i="1"/>
  <c r="S81" i="1"/>
  <c r="S83" i="1"/>
  <c r="S110" i="1"/>
  <c r="S111" i="1"/>
  <c r="S116" i="1"/>
  <c r="S112" i="1"/>
  <c r="S113" i="1"/>
  <c r="S99" i="1"/>
  <c r="S84" i="1"/>
  <c r="S92" i="1"/>
  <c r="S86" i="1"/>
  <c r="S98" i="1"/>
  <c r="S87" i="1"/>
  <c r="S107" i="1"/>
  <c r="S96" i="1"/>
  <c r="S108" i="1"/>
  <c r="S85" i="1"/>
  <c r="S97" i="1"/>
  <c r="S109" i="1"/>
  <c r="S82" i="1"/>
  <c r="S161" i="1"/>
  <c r="S255" i="1"/>
  <c r="Q222" i="1"/>
  <c r="S293" i="1"/>
  <c r="S393" i="1"/>
  <c r="S328" i="1"/>
  <c r="S392" i="1"/>
  <c r="S365" i="1"/>
  <c r="S325" i="1"/>
  <c r="S301" i="1"/>
  <c r="S364" i="1"/>
  <c r="S323" i="1"/>
  <c r="S299" i="1"/>
  <c r="S370" i="1"/>
  <c r="S372" i="1"/>
  <c r="S322" i="1"/>
  <c r="S314" i="1"/>
  <c r="S306" i="1"/>
  <c r="S298" i="1"/>
  <c r="S374" i="1"/>
  <c r="S361" i="1"/>
  <c r="S321" i="1"/>
  <c r="S344" i="1"/>
  <c r="S320" i="1"/>
  <c r="S386" i="1"/>
  <c r="S368" i="1"/>
  <c r="S359" i="1"/>
  <c r="S327" i="1"/>
  <c r="S295" i="1"/>
  <c r="S303" i="1"/>
  <c r="S353" i="1"/>
  <c r="S385" i="1"/>
  <c r="S358" i="1"/>
  <c r="S326" i="1"/>
  <c r="S302" i="1"/>
  <c r="Q220" i="1"/>
  <c r="S308" i="1"/>
  <c r="S9" i="1"/>
  <c r="S254" i="1"/>
  <c r="S307" i="1"/>
  <c r="S309" i="1"/>
  <c r="S313" i="1"/>
  <c r="S305" i="1"/>
  <c r="S304" i="1"/>
  <c r="S312" i="1"/>
  <c r="S311" i="1"/>
  <c r="S310" i="1"/>
  <c r="S300" i="1"/>
  <c r="S297" i="1"/>
  <c r="S296" i="1"/>
  <c r="S294" i="1"/>
  <c r="S135" i="1"/>
  <c r="S145" i="1"/>
  <c r="S391" i="1"/>
  <c r="S387" i="1"/>
  <c r="S390" i="1"/>
  <c r="S389" i="1"/>
  <c r="S388" i="1"/>
  <c r="S366" i="1"/>
  <c r="S373" i="1"/>
  <c r="S369" i="1"/>
  <c r="S360" i="1"/>
  <c r="S356" i="1"/>
  <c r="S363" i="1"/>
  <c r="S355" i="1"/>
  <c r="S362" i="1"/>
  <c r="S357" i="1"/>
  <c r="S348" i="1"/>
  <c r="S347" i="1"/>
  <c r="S346" i="1"/>
  <c r="S345" i="1"/>
  <c r="S352" i="1"/>
  <c r="S354" i="1"/>
  <c r="S351" i="1"/>
  <c r="S316" i="1"/>
  <c r="S315" i="1"/>
  <c r="S317" i="1"/>
  <c r="S318" i="1"/>
  <c r="S291" i="1"/>
  <c r="S292" i="1"/>
  <c r="S290" i="1"/>
  <c r="S237" i="1"/>
  <c r="S182" i="1"/>
  <c r="S168" i="1"/>
  <c r="S268" i="1"/>
  <c r="S252" i="1"/>
  <c r="S236" i="1"/>
  <c r="S191" i="1"/>
  <c r="S181" i="1"/>
  <c r="S131" i="1"/>
  <c r="S123" i="1"/>
  <c r="S171" i="1"/>
  <c r="S178" i="1"/>
  <c r="S196" i="1"/>
  <c r="S187" i="1"/>
  <c r="S177" i="1"/>
  <c r="S120" i="1"/>
  <c r="S143" i="1"/>
  <c r="S173" i="1"/>
  <c r="S256" i="1"/>
  <c r="S186" i="1"/>
  <c r="S176" i="1"/>
  <c r="S144" i="1"/>
  <c r="S239" i="1"/>
  <c r="S275" i="1"/>
  <c r="S278" i="1"/>
  <c r="S207" i="1"/>
  <c r="S199" i="1"/>
  <c r="S166" i="1"/>
  <c r="S117" i="1"/>
  <c r="S281" i="1"/>
  <c r="S287" i="1"/>
  <c r="S284" i="1"/>
  <c r="S260" i="1"/>
  <c r="S204" i="1"/>
  <c r="S272" i="1"/>
  <c r="S264" i="1"/>
  <c r="S248" i="1"/>
  <c r="S243" i="1"/>
  <c r="S231" i="1"/>
  <c r="S210" i="1"/>
  <c r="S114" i="1"/>
  <c r="S127" i="1"/>
  <c r="S121" i="1"/>
  <c r="P213" i="1"/>
  <c r="S48" i="1"/>
  <c r="S54" i="1"/>
  <c r="S51" i="1"/>
  <c r="S39" i="1"/>
  <c r="S7" i="1"/>
  <c r="S77" i="1"/>
  <c r="S42" i="1"/>
  <c r="R228" i="1"/>
  <c r="R229" i="1"/>
  <c r="G333" i="1"/>
  <c r="S339" i="1"/>
  <c r="S334" i="1"/>
  <c r="G336" i="1"/>
  <c r="S31" i="1"/>
  <c r="S338" i="1"/>
  <c r="S33" i="1"/>
  <c r="S36" i="1"/>
  <c r="R220" i="1"/>
  <c r="P225" i="1"/>
  <c r="R230" i="1"/>
  <c r="P221" i="1"/>
  <c r="S34" i="1"/>
  <c r="S37" i="1"/>
  <c r="R227" i="1"/>
  <c r="P224" i="1"/>
  <c r="S32" i="1"/>
  <c r="P226" i="1"/>
  <c r="P228" i="1"/>
  <c r="S38" i="1"/>
  <c r="S24" i="1"/>
  <c r="S25" i="1"/>
  <c r="P220" i="1"/>
  <c r="S30" i="1"/>
  <c r="S22" i="1"/>
  <c r="S14" i="1"/>
  <c r="P219" i="1"/>
  <c r="S153" i="1"/>
  <c r="S45" i="1"/>
  <c r="S15" i="1"/>
  <c r="S26" i="1"/>
  <c r="P218" i="1"/>
  <c r="S29" i="1"/>
  <c r="S21" i="1"/>
  <c r="S154" i="1"/>
  <c r="S57" i="1"/>
  <c r="S16" i="1"/>
  <c r="S27" i="1"/>
  <c r="S404" i="1"/>
  <c r="P223" i="1"/>
  <c r="S28" i="1"/>
  <c r="P229" i="1"/>
  <c r="S63" i="1"/>
  <c r="S20" i="1"/>
  <c r="P222" i="1"/>
  <c r="R221" i="1"/>
  <c r="R222" i="1"/>
  <c r="P227" i="1"/>
  <c r="R223" i="1"/>
  <c r="Q219" i="1"/>
  <c r="S333" i="1"/>
  <c r="S330" i="1"/>
  <c r="P217" i="1"/>
  <c r="S136" i="1"/>
  <c r="S60" i="1"/>
  <c r="S329" i="1"/>
  <c r="S349" i="1" l="1"/>
  <c r="S261" i="1"/>
  <c r="S192" i="1"/>
  <c r="S197" i="1"/>
  <c r="S188" i="1"/>
  <c r="S202" i="1"/>
  <c r="S240" i="1"/>
  <c r="S211" i="1"/>
  <c r="S40" i="1"/>
  <c r="S206" i="1"/>
  <c r="S172" i="1"/>
  <c r="S241" i="1"/>
  <c r="S201" i="1"/>
  <c r="S238" i="1"/>
  <c r="S247" i="1"/>
  <c r="S246" i="1"/>
  <c r="S167" i="1"/>
  <c r="S244" i="1"/>
  <c r="S189" i="1"/>
  <c r="S270" i="1"/>
  <c r="S198" i="1"/>
  <c r="S274" i="1"/>
  <c r="S115" i="1"/>
  <c r="S205" i="1"/>
  <c r="S119" i="1"/>
  <c r="S235" i="1"/>
  <c r="S266" i="1"/>
  <c r="S208" i="1"/>
  <c r="S277" i="1"/>
  <c r="S175" i="1"/>
  <c r="S209" i="1"/>
  <c r="S183" i="1"/>
  <c r="S193" i="1"/>
  <c r="S200" i="1"/>
  <c r="S195" i="1"/>
  <c r="S118" i="1"/>
  <c r="S234" i="1"/>
  <c r="S253" i="1"/>
  <c r="S242" i="1"/>
  <c r="S258" i="1"/>
  <c r="S232" i="1"/>
  <c r="S170" i="1"/>
  <c r="S203" i="1"/>
  <c r="S276" i="1"/>
  <c r="S124" i="1"/>
  <c r="S269" i="1"/>
  <c r="S125" i="1"/>
  <c r="S262" i="1"/>
  <c r="S212" i="1"/>
  <c r="S259" i="1"/>
  <c r="S251" i="1"/>
  <c r="S184" i="1"/>
  <c r="S271" i="1"/>
  <c r="S280" i="1"/>
  <c r="S128" i="1"/>
  <c r="S257" i="1"/>
  <c r="S245" i="1"/>
  <c r="S134" i="1"/>
  <c r="S194" i="1"/>
  <c r="S263" i="1"/>
  <c r="S169" i="1"/>
  <c r="S265" i="1"/>
  <c r="S249" i="1"/>
  <c r="S233" i="1"/>
  <c r="S250" i="1"/>
  <c r="S273" i="1"/>
  <c r="S130" i="1"/>
  <c r="S133" i="1"/>
  <c r="S267" i="1"/>
  <c r="S129" i="1"/>
  <c r="S122" i="1"/>
  <c r="S282" i="1"/>
  <c r="S132" i="1"/>
  <c r="S283" i="1"/>
  <c r="S279" i="1"/>
  <c r="S289" i="1"/>
  <c r="S286" i="1"/>
  <c r="S285" i="1"/>
  <c r="S288" i="1"/>
  <c r="S56" i="1"/>
  <c r="S55" i="1"/>
  <c r="S53" i="1"/>
  <c r="S12" i="1"/>
  <c r="S5" i="1"/>
  <c r="S49" i="1"/>
  <c r="S11" i="1"/>
  <c r="S331" i="1"/>
  <c r="S52" i="1"/>
  <c r="S50" i="1"/>
  <c r="S8" i="1"/>
  <c r="S337" i="1"/>
  <c r="S43" i="1"/>
  <c r="S64" i="1"/>
  <c r="S58" i="1"/>
  <c r="S336" i="1"/>
  <c r="S65" i="1"/>
  <c r="S59" i="1"/>
  <c r="S61" i="1"/>
  <c r="S62" i="1"/>
  <c r="S332" i="1"/>
  <c r="S335" i="1"/>
  <c r="S46" i="1"/>
  <c r="S406" i="1"/>
  <c r="S47" i="1"/>
  <c r="S341" i="1"/>
  <c r="S405" i="1"/>
  <c r="S44" i="1"/>
  <c r="S2" i="1" l="1"/>
</calcChain>
</file>

<file path=xl/sharedStrings.xml><?xml version="1.0" encoding="utf-8"?>
<sst xmlns="http://schemas.openxmlformats.org/spreadsheetml/2006/main" count="4079" uniqueCount="1073">
  <si>
    <t>national</t>
  </si>
  <si>
    <t>RMS</t>
  </si>
  <si>
    <t>CMS</t>
  </si>
  <si>
    <t>DE</t>
  </si>
  <si>
    <t>simple</t>
  </si>
  <si>
    <t>complex</t>
  </si>
  <si>
    <t>BE</t>
  </si>
  <si>
    <t>analytical</t>
  </si>
  <si>
    <t>clinical</t>
  </si>
  <si>
    <t>herbal</t>
  </si>
  <si>
    <t>BG</t>
  </si>
  <si>
    <t>Last updated</t>
  </si>
  <si>
    <t>CY</t>
  </si>
  <si>
    <t>CZ</t>
  </si>
  <si>
    <t>DK</t>
  </si>
  <si>
    <t>EE</t>
  </si>
  <si>
    <t>FI</t>
  </si>
  <si>
    <t>each add. strength</t>
  </si>
  <si>
    <t>1st strength</t>
  </si>
  <si>
    <t>FR</t>
  </si>
  <si>
    <t>CC</t>
  </si>
  <si>
    <t>EL</t>
  </si>
  <si>
    <t>new indication</t>
  </si>
  <si>
    <t>ES</t>
  </si>
  <si>
    <t>HU</t>
  </si>
  <si>
    <t>IS</t>
  </si>
  <si>
    <t>change in indication</t>
  </si>
  <si>
    <t>change in posology</t>
  </si>
  <si>
    <t>IE</t>
  </si>
  <si>
    <t>standard</t>
  </si>
  <si>
    <t>IT</t>
  </si>
  <si>
    <t>LV</t>
  </si>
  <si>
    <t>LU</t>
  </si>
  <si>
    <t>MT</t>
  </si>
  <si>
    <t>NL</t>
  </si>
  <si>
    <t>NO</t>
  </si>
  <si>
    <t>if CMS is not affected</t>
  </si>
  <si>
    <t>PL</t>
  </si>
  <si>
    <t>AT</t>
  </si>
  <si>
    <t>PT</t>
  </si>
  <si>
    <t>RO</t>
  </si>
  <si>
    <t>SK</t>
  </si>
  <si>
    <t>SI</t>
  </si>
  <si>
    <t>SE</t>
  </si>
  <si>
    <t>UK</t>
  </si>
  <si>
    <t>complex, extended</t>
  </si>
  <si>
    <t>Type IA exemptions</t>
  </si>
  <si>
    <t xml:space="preserve">b)Addition of a new specification parameter to the specification with its corresponding test method </t>
  </si>
  <si>
    <t>B.I.b.1.</t>
  </si>
  <si>
    <t>B.II.a.3.</t>
  </si>
  <si>
    <t xml:space="preserve">c) Addition of a new specification parameter to the specification with its corresponding test method </t>
  </si>
  <si>
    <t xml:space="preserve">1. Addition , deletion or replacement </t>
  </si>
  <si>
    <t xml:space="preserve">b) Other excipients </t>
  </si>
  <si>
    <t>B.II.b.1.</t>
  </si>
  <si>
    <t>B.II.c.1.</t>
  </si>
  <si>
    <t>B.II.e.3.</t>
  </si>
  <si>
    <t xml:space="preserve">b) Other changes to a test procedure (including replacement or addition) </t>
  </si>
  <si>
    <t>B.III.1.</t>
  </si>
  <si>
    <t xml:space="preserve">a) European Pharmacopoeial Certificate of Suitability to the relevant Ph. Eur. Monograph. </t>
  </si>
  <si>
    <t>B.IV.1.</t>
  </si>
  <si>
    <t xml:space="preserve">a) Addition or replacement of a device which is not an integrated part of the primary packaging </t>
  </si>
  <si>
    <t xml:space="preserve">B.IV.1. </t>
  </si>
  <si>
    <r>
      <t xml:space="preserve">Change in the </t>
    </r>
    <r>
      <rPr>
        <b/>
        <sz val="11"/>
        <color theme="1"/>
        <rFont val="Calibri"/>
        <family val="2"/>
        <scheme val="minor"/>
      </rPr>
      <t>specification parameters and/or limits</t>
    </r>
    <r>
      <rPr>
        <sz val="11"/>
        <color theme="1"/>
        <rFont val="Calibri"/>
        <family val="2"/>
        <scheme val="minor"/>
      </rPr>
      <t xml:space="preserve"> of an active substance, starting material/intermediate/reagent used in the manufacturing process of the active substance </t>
    </r>
  </si>
  <si>
    <r>
      <t>Changes in the composition (</t>
    </r>
    <r>
      <rPr>
        <b/>
        <sz val="11"/>
        <color theme="1"/>
        <rFont val="Calibri"/>
        <family val="2"/>
        <scheme val="minor"/>
      </rPr>
      <t>excipients</t>
    </r>
    <r>
      <rPr>
        <sz val="11"/>
        <color theme="1"/>
        <rFont val="Calibri"/>
        <family val="2"/>
        <scheme val="minor"/>
      </rPr>
      <t xml:space="preserve">) of the finished product </t>
    </r>
  </si>
  <si>
    <r>
      <t xml:space="preserve">a) Changes in components of the </t>
    </r>
    <r>
      <rPr>
        <b/>
        <sz val="11"/>
        <color theme="1"/>
        <rFont val="Calibri"/>
        <family val="2"/>
        <scheme val="minor"/>
      </rPr>
      <t>flavouring</t>
    </r>
    <r>
      <rPr>
        <sz val="11"/>
        <color theme="1"/>
        <rFont val="Calibri"/>
        <family val="2"/>
        <scheme val="minor"/>
      </rPr>
      <t xml:space="preserve"> or </t>
    </r>
    <r>
      <rPr>
        <b/>
        <sz val="11"/>
        <color theme="1"/>
        <rFont val="Calibri"/>
        <family val="2"/>
        <scheme val="minor"/>
      </rPr>
      <t>colouring</t>
    </r>
    <r>
      <rPr>
        <sz val="11"/>
        <color theme="1"/>
        <rFont val="Calibri"/>
        <family val="2"/>
        <scheme val="minor"/>
      </rPr>
      <t xml:space="preserve"> system </t>
    </r>
  </si>
  <si>
    <r>
      <t xml:space="preserve">1. Any </t>
    </r>
    <r>
      <rPr>
        <b/>
        <sz val="11"/>
        <color theme="1"/>
        <rFont val="Calibri"/>
        <family val="2"/>
        <scheme val="minor"/>
      </rPr>
      <t>minor adjustment</t>
    </r>
    <r>
      <rPr>
        <sz val="11"/>
        <color theme="1"/>
        <rFont val="Calibri"/>
        <family val="2"/>
        <scheme val="minor"/>
      </rPr>
      <t xml:space="preserve"> of the quantitative composition of the finished product with respect to excipients </t>
    </r>
  </si>
  <si>
    <r>
      <rPr>
        <b/>
        <sz val="11"/>
        <color theme="1"/>
        <rFont val="Calibri"/>
        <family val="2"/>
        <scheme val="minor"/>
      </rPr>
      <t>Replacement or addition of a manufacturing site</t>
    </r>
    <r>
      <rPr>
        <sz val="11"/>
        <color theme="1"/>
        <rFont val="Calibri"/>
        <family val="2"/>
        <scheme val="minor"/>
      </rPr>
      <t xml:space="preserve"> for part or all of the manufacturing process of the finished product </t>
    </r>
  </si>
  <si>
    <r>
      <t xml:space="preserve">b) </t>
    </r>
    <r>
      <rPr>
        <b/>
        <sz val="11"/>
        <color theme="1"/>
        <rFont val="Calibri"/>
        <family val="2"/>
        <scheme val="minor"/>
      </rPr>
      <t>Primary packaging</t>
    </r>
    <r>
      <rPr>
        <sz val="11"/>
        <color theme="1"/>
        <rFont val="Calibri"/>
        <family val="2"/>
        <scheme val="minor"/>
      </rPr>
      <t xml:space="preserve"> site </t>
    </r>
  </si>
  <si>
    <r>
      <t xml:space="preserve">Change in the </t>
    </r>
    <r>
      <rPr>
        <b/>
        <sz val="11"/>
        <color theme="1"/>
        <rFont val="Calibri"/>
        <family val="2"/>
        <scheme val="minor"/>
      </rPr>
      <t>specification parameters and/or limits</t>
    </r>
    <r>
      <rPr>
        <sz val="11"/>
        <color theme="1"/>
        <rFont val="Calibri"/>
        <family val="2"/>
        <scheme val="minor"/>
      </rPr>
      <t xml:space="preserve"> of an excipient </t>
    </r>
  </si>
  <si>
    <r>
      <t xml:space="preserve">Change in test procedure for the </t>
    </r>
    <r>
      <rPr>
        <b/>
        <sz val="11"/>
        <color theme="1"/>
        <rFont val="Calibri"/>
        <family val="2"/>
        <scheme val="minor"/>
      </rPr>
      <t>immediate packaging</t>
    </r>
    <r>
      <rPr>
        <sz val="11"/>
        <color theme="1"/>
        <rFont val="Calibri"/>
        <family val="2"/>
        <scheme val="minor"/>
      </rPr>
      <t xml:space="preserve"> of the finished product </t>
    </r>
  </si>
  <si>
    <r>
      <t xml:space="preserve">Submission of a new or updated Ph. Eur. </t>
    </r>
    <r>
      <rPr>
        <b/>
        <sz val="11"/>
        <color theme="1"/>
        <rFont val="Calibri"/>
        <family val="2"/>
        <scheme val="minor"/>
      </rPr>
      <t>certificate of suitability</t>
    </r>
    <r>
      <rPr>
        <sz val="11"/>
        <color theme="1"/>
        <rFont val="Calibri"/>
        <family val="2"/>
        <scheme val="minor"/>
      </rPr>
      <t xml:space="preserve"> or deletion of Ph. Eur. certificate of suitability </t>
    </r>
  </si>
  <si>
    <r>
      <t xml:space="preserve">1. New certificate from an </t>
    </r>
    <r>
      <rPr>
        <b/>
        <sz val="11"/>
        <color theme="1"/>
        <rFont val="Calibri"/>
        <family val="2"/>
        <scheme val="minor"/>
      </rPr>
      <t xml:space="preserve">already approved manufacturer </t>
    </r>
  </si>
  <si>
    <r>
      <t xml:space="preserve">3. New certificate from a </t>
    </r>
    <r>
      <rPr>
        <b/>
        <sz val="11"/>
        <color theme="1"/>
        <rFont val="Calibri"/>
        <family val="2"/>
        <scheme val="minor"/>
      </rPr>
      <t>new manufacturer</t>
    </r>
    <r>
      <rPr>
        <sz val="11"/>
        <color theme="1"/>
        <rFont val="Calibri"/>
        <family val="2"/>
        <scheme val="minor"/>
      </rPr>
      <t xml:space="preserve"> (replacement or addition) </t>
    </r>
  </si>
  <si>
    <r>
      <t xml:space="preserve">Submission of a new or updated Ph. Eur. </t>
    </r>
    <r>
      <rPr>
        <b/>
        <sz val="11"/>
        <color theme="1"/>
        <rFont val="Calibri"/>
        <family val="2"/>
        <scheme val="minor"/>
      </rPr>
      <t xml:space="preserve">certificate of suitability </t>
    </r>
    <r>
      <rPr>
        <sz val="11"/>
        <color theme="1"/>
        <rFont val="Calibri"/>
        <family val="2"/>
        <scheme val="minor"/>
      </rPr>
      <t xml:space="preserve">or deletion of Ph. Eur. certificate of suitability </t>
    </r>
  </si>
  <si>
    <r>
      <t xml:space="preserve">Change of a </t>
    </r>
    <r>
      <rPr>
        <b/>
        <sz val="11"/>
        <color theme="1"/>
        <rFont val="Calibri"/>
        <family val="2"/>
        <scheme val="minor"/>
      </rPr>
      <t xml:space="preserve">measuring or administration device </t>
    </r>
  </si>
  <si>
    <r>
      <t xml:space="preserve">Change of a </t>
    </r>
    <r>
      <rPr>
        <b/>
        <sz val="11"/>
        <color theme="1"/>
        <rFont val="Calibri"/>
        <family val="2"/>
        <scheme val="minor"/>
      </rPr>
      <t>measuring or administration device</t>
    </r>
  </si>
  <si>
    <r>
      <t xml:space="preserve">b) </t>
    </r>
    <r>
      <rPr>
        <b/>
        <sz val="11"/>
        <color theme="1"/>
        <rFont val="Calibri"/>
        <family val="2"/>
        <scheme val="minor"/>
      </rPr>
      <t>Deletion</t>
    </r>
    <r>
      <rPr>
        <sz val="11"/>
        <color theme="1"/>
        <rFont val="Calibri"/>
        <family val="2"/>
        <scheme val="minor"/>
      </rPr>
      <t xml:space="preserve"> of a device </t>
    </r>
  </si>
  <si>
    <r>
      <t xml:space="preserve">1. Device </t>
    </r>
    <r>
      <rPr>
        <b/>
        <sz val="11"/>
        <color theme="1"/>
        <rFont val="Calibri"/>
        <family val="2"/>
        <scheme val="minor"/>
      </rPr>
      <t xml:space="preserve">with CE marking </t>
    </r>
  </si>
  <si>
    <t>HR</t>
  </si>
  <si>
    <t>very complex</t>
  </si>
  <si>
    <t>LT</t>
  </si>
  <si>
    <t>MHRA</t>
  </si>
  <si>
    <t>JAZMP</t>
  </si>
  <si>
    <t>MPA</t>
  </si>
  <si>
    <t>CBG/MEB</t>
  </si>
  <si>
    <t>HPRA</t>
  </si>
  <si>
    <t>FIMEA</t>
  </si>
  <si>
    <t>SUKL</t>
  </si>
  <si>
    <t>BFARM</t>
  </si>
  <si>
    <t>INFARMED</t>
  </si>
  <si>
    <t>URPL</t>
  </si>
  <si>
    <t>AEMPS</t>
  </si>
  <si>
    <t>AGES</t>
  </si>
  <si>
    <t>AIFA</t>
  </si>
  <si>
    <t>NOMA</t>
  </si>
  <si>
    <t>EOF</t>
  </si>
  <si>
    <t>DKMA</t>
  </si>
  <si>
    <t>HALMED</t>
  </si>
  <si>
    <t>BDA</t>
  </si>
  <si>
    <t>IMA</t>
  </si>
  <si>
    <t>ZVA</t>
  </si>
  <si>
    <t>VVKT</t>
  </si>
  <si>
    <t>MINSANT</t>
  </si>
  <si>
    <t>MA</t>
  </si>
  <si>
    <t>analytical, herbal</t>
  </si>
  <si>
    <t>clinical, herbal</t>
  </si>
  <si>
    <t>SAM</t>
  </si>
  <si>
    <t>Special cases / Comments</t>
  </si>
  <si>
    <t>IA</t>
  </si>
  <si>
    <t>IB</t>
  </si>
  <si>
    <t>II</t>
  </si>
  <si>
    <t>A.2 change trade name</t>
  </si>
  <si>
    <t>ANSM</t>
  </si>
  <si>
    <t>OGYEI</t>
  </si>
  <si>
    <t>Category</t>
  </si>
  <si>
    <t>fees as of 16.06.2015</t>
  </si>
  <si>
    <t>ANMDMR</t>
  </si>
  <si>
    <t>since 01.10.2012</t>
  </si>
  <si>
    <t>administrative (i.e. MAH)</t>
  </si>
  <si>
    <t>+ state fee 16 €</t>
  </si>
  <si>
    <t>I.A.2.1.a.</t>
  </si>
  <si>
    <t>I.A.2.1.b.</t>
  </si>
  <si>
    <t>I.A.2.2.a.1.</t>
  </si>
  <si>
    <t>I.A.2.2.b.1.</t>
  </si>
  <si>
    <t>I.A.2.2.a.2.</t>
  </si>
  <si>
    <t>I.A.2.2.b.2.</t>
  </si>
  <si>
    <t>3115</t>
  </si>
  <si>
    <t>3117</t>
  </si>
  <si>
    <t>3120</t>
  </si>
  <si>
    <t>3.1.4</t>
  </si>
  <si>
    <t>3.9</t>
  </si>
  <si>
    <t>3.10</t>
  </si>
  <si>
    <t>3.11</t>
  </si>
  <si>
    <t>3.12</t>
  </si>
  <si>
    <t>2.10</t>
  </si>
  <si>
    <t>2.11</t>
  </si>
  <si>
    <t>2.12</t>
  </si>
  <si>
    <t>RS</t>
  </si>
  <si>
    <t>ALIMS</t>
  </si>
  <si>
    <t>comments</t>
  </si>
  <si>
    <t>fees last updated in calculator</t>
  </si>
  <si>
    <t>4.53/3.1</t>
  </si>
  <si>
    <t>4.54/3.2</t>
  </si>
  <si>
    <t>4.55/3.3</t>
  </si>
  <si>
    <t>4.56/3.4</t>
  </si>
  <si>
    <t>new indication (and others)</t>
  </si>
  <si>
    <t>Art. 7.1</t>
  </si>
  <si>
    <t>Art. 7.2</t>
  </si>
  <si>
    <t>B.IV.1(a)3</t>
  </si>
  <si>
    <t>B.II.g.1(b)</t>
  </si>
  <si>
    <t>B.V.a.1(a)</t>
  </si>
  <si>
    <t>B.V.a.2(a)</t>
  </si>
  <si>
    <t>B.II.g.1(a)</t>
  </si>
  <si>
    <t>B.II.h.1(b1)</t>
  </si>
  <si>
    <t>B.II.h.1(a)</t>
  </si>
  <si>
    <t>B.II.c.4(c)</t>
  </si>
  <si>
    <t>B.II.c.4(b)</t>
  </si>
  <si>
    <t>B.II.b.3(e)</t>
  </si>
  <si>
    <t>B.II.a.3(b5)</t>
  </si>
  <si>
    <t>B.II.b.1(c)</t>
  </si>
  <si>
    <t>B.II.b.1(d)</t>
  </si>
  <si>
    <t>B.II.b.3(b)</t>
  </si>
  <si>
    <t>B.II.b.3(c)</t>
  </si>
  <si>
    <t>B.II.b.3(d)</t>
  </si>
  <si>
    <t>B.II.a.3(b4)</t>
  </si>
  <si>
    <t>B.II.a.3(b3)</t>
  </si>
  <si>
    <t>B.II.a.3(b2)</t>
  </si>
  <si>
    <t>B.I.b.2(d)</t>
  </si>
  <si>
    <t>B.I.e.2</t>
  </si>
  <si>
    <t>B.I.a.3(c)</t>
  </si>
  <si>
    <t>B.I.a.2(d)</t>
  </si>
  <si>
    <t>B.I.a.2(c)</t>
  </si>
  <si>
    <t>B.I.a.2(b)</t>
  </si>
  <si>
    <t>B.I.a.1(j)</t>
  </si>
  <si>
    <t>B.I.a.1(g)</t>
  </si>
  <si>
    <t>B.I.a.1(e)</t>
  </si>
  <si>
    <t>B.I.a.1(d)</t>
  </si>
  <si>
    <t>B.I.a.1(c)</t>
  </si>
  <si>
    <t>B.I.a.1(b)</t>
  </si>
  <si>
    <t>A.1 or A.7</t>
  </si>
  <si>
    <t>When PL is not RMS</t>
  </si>
  <si>
    <t>change in the name or address of the marketing authorisation holder in other than Poland countries participating in the procedure;</t>
  </si>
  <si>
    <t>change in the name of the medicinal product in other than Poland countries participating in the procedure;</t>
  </si>
  <si>
    <t>When PL is RMS, CMS or national variations</t>
  </si>
  <si>
    <t>minor type IA variation concerning new, updated or deletion of  European Pharmacopoeial TSE Certificate of suitability for an active substance/starting material/reagent/intermediate/or excipient irrespective of number of certificates.</t>
  </si>
  <si>
    <t>administrative variations which are results of the decisions or acts of local law issued by other bodies irrespectiveof the will of the marketing authorisation holder;</t>
  </si>
  <si>
    <t>Type IB, category A.2</t>
  </si>
  <si>
    <t>Type IAIN, category C.I.8</t>
  </si>
  <si>
    <t>Type IAIN, category A.1</t>
  </si>
  <si>
    <t>change in PSMF summary for medicinal products in other than Poland countries participating in the procedure.</t>
  </si>
  <si>
    <t>changes to a PSMF summary for medicinal products;</t>
  </si>
  <si>
    <t>Type IAIN, category B.III.1.b</t>
  </si>
  <si>
    <t>tbc</t>
  </si>
  <si>
    <t>A.2 - change trade name</t>
  </si>
  <si>
    <t>addition to indication</t>
  </si>
  <si>
    <t xml:space="preserve"> </t>
  </si>
  <si>
    <t>Date</t>
  </si>
  <si>
    <t>FAMHP</t>
  </si>
  <si>
    <t>payment method</t>
  </si>
  <si>
    <t>invoice</t>
  </si>
  <si>
    <t>proof of payment</t>
  </si>
  <si>
    <t>New manufacturer of active pharmaceutical ingredient or active substance (ASM) applied for with or without ASMF (B.I.a.1.b, B.I.a.1.c, B.I.a.1.e, B.1.a.1.g) or change to raw material manufacturing (B.I.a.2.c, B.I.a.3.c, B.I.a.5)</t>
  </si>
  <si>
    <t>Significant change of formulation with/without bioequivalence trials (B.II.a.3.b.2 or B.II.a.3.b.5)</t>
  </si>
  <si>
    <t>Significant change of composition of extract/herbal preparation, e.g. in connection with reclassification of extract from standardised or other to quantified extract (B.I.z, B.II.a.z)</t>
  </si>
  <si>
    <t>Introduction of real-time release or parametric release (B.II.d.3)</t>
  </si>
  <si>
    <t>Introduction of Design space (B.I.e.1, B.II.g.1)</t>
  </si>
  <si>
    <t>Introduction of post-approval management plan (B.I.e.2, B.II.g.2)</t>
  </si>
  <si>
    <t>New finished product manufacturer (B.II.b.1.c), change to finished product manufacturing (B.II.b.3.c) and change to batch size (B.II.b.4.c)</t>
  </si>
  <si>
    <t>Significant change of declaration (C.I.4) for natural medicinal product/traditional herbal medicinal product If the variation application is not included on this list, the variation is considered to be simple.</t>
  </si>
  <si>
    <t>administrative (A.1, C.I.8)</t>
  </si>
  <si>
    <t>Description</t>
  </si>
  <si>
    <t>Description2</t>
  </si>
  <si>
    <t>n.a.</t>
  </si>
  <si>
    <t>administrative ("A")</t>
  </si>
  <si>
    <t>quality, simple ("B" or "D")</t>
  </si>
  <si>
    <t>quality, complex ("B" or "D")</t>
  </si>
  <si>
    <t>regulatory/clinical ("C")</t>
  </si>
  <si>
    <t>3118</t>
  </si>
  <si>
    <t>3121</t>
  </si>
  <si>
    <t>3116</t>
  </si>
  <si>
    <t>Type IA</t>
  </si>
  <si>
    <t>Type IB</t>
  </si>
  <si>
    <t>Type II</t>
  </si>
  <si>
    <t xml:space="preserve"> Type IA</t>
  </si>
  <si>
    <t xml:space="preserve"> Type IB</t>
  </si>
  <si>
    <t xml:space="preserve"> Type II</t>
  </si>
  <si>
    <t>Type</t>
  </si>
  <si>
    <t>Non-€-CC</t>
  </si>
  <si>
    <t>Exchange rate (1 € = X,XX)</t>
  </si>
  <si>
    <t>5.a) i)</t>
  </si>
  <si>
    <t>5.a) iii)</t>
  </si>
  <si>
    <t>A.1, A.5 or A.7 (1 to 10 medicines)</t>
  </si>
  <si>
    <t>9.a)</t>
  </si>
  <si>
    <t>5.a) i) + d)</t>
  </si>
  <si>
    <t>5.a) iii) + d)</t>
  </si>
  <si>
    <t>5.b) i) + d)</t>
  </si>
  <si>
    <t>5.b) i)</t>
  </si>
  <si>
    <t>Portaria 377/2005 9.a)</t>
  </si>
  <si>
    <t>Fee</t>
  </si>
  <si>
    <t>Example</t>
  </si>
  <si>
    <t>For each type I variation consisting only in the
change of the name, company, address, headoffice or representation of the manufacturer or of the MA holder, in every MA of which the applicant is holder: An initial set of 1 to 10 medicines, including one strength and one pharmaceutical form</t>
  </si>
  <si>
    <t>Portaria 377/2005 5.a) iii) + d)</t>
  </si>
  <si>
    <t>For each national type I variation concerning the change of
the name, company, head-office or representation of the MA
holder or the deletion of companies involved in the manufacturing, including the batch release, of the medicine and of the active substance(s)</t>
  </si>
  <si>
    <t>A.7: deletion of one or more manufacturing sites</t>
  </si>
  <si>
    <t>383.63 € for all strengths</t>
  </si>
  <si>
    <t>Portaria 377/2005 5.a) i) + d) 
Portaria 377/2005 5.a) ii) + d)</t>
  </si>
  <si>
    <t>For each national type I variation, including one strength and one pharmaceutical form</t>
  </si>
  <si>
    <t>478.76 € + 162.66 € for each additional strength</t>
  </si>
  <si>
    <t>B.II.b.2.c.1.: change of batch release site</t>
  </si>
  <si>
    <t xml:space="preserve"> 110.48 € for each strength</t>
  </si>
  <si>
    <t>A.5: name change of a manufacturing site</t>
  </si>
  <si>
    <t>Category (national)</t>
  </si>
  <si>
    <t>annual fee</t>
  </si>
  <si>
    <t>yes</t>
  </si>
  <si>
    <t>no</t>
  </si>
  <si>
    <t>B.2.1.2 / B.2.2.2</t>
  </si>
  <si>
    <t>B.2.1.6 / B.2.2.6</t>
  </si>
  <si>
    <t>B.2.1.14 / B.2.2.14</t>
  </si>
  <si>
    <t>B.2.1.10 / B.2.2.10</t>
  </si>
  <si>
    <t>B.2.1.1 / B.2.2.1</t>
  </si>
  <si>
    <t>B.2.1.5 / B.2.2.5</t>
  </si>
  <si>
    <t>B.2.1.13 / B.2.2.13</t>
  </si>
  <si>
    <t>B.2.1.9 / B.2.2.9</t>
  </si>
  <si>
    <t>change in SmPC, PL and labelling</t>
  </si>
  <si>
    <t>change in therapeutic indication</t>
  </si>
  <si>
    <t>D.41 / D.47</t>
  </si>
  <si>
    <t>D.42 / D.47.a)</t>
  </si>
  <si>
    <t>D.43 / D.47.b)</t>
  </si>
  <si>
    <t>D.44 / D.48</t>
  </si>
  <si>
    <t>D.45 / D.48.a)</t>
  </si>
  <si>
    <t>D.46 / D.48.b)</t>
  </si>
  <si>
    <t>D.35 / D.38</t>
  </si>
  <si>
    <t>D.36 / D.39</t>
  </si>
  <si>
    <t>D.37 / D.40</t>
  </si>
  <si>
    <t>grouping</t>
  </si>
  <si>
    <t>3106 / 3124</t>
  </si>
  <si>
    <t>3107 / 3125</t>
  </si>
  <si>
    <t>3112 / 3134</t>
  </si>
  <si>
    <t>3113 / 3135</t>
  </si>
  <si>
    <t>same D.Sp.No. - grouping only</t>
  </si>
  <si>
    <t>several D.Sp.No. - grouping only</t>
  </si>
  <si>
    <t>3103</t>
  </si>
  <si>
    <t>3108 / 3128/3129</t>
  </si>
  <si>
    <t>3109 / 3130/3131</t>
  </si>
  <si>
    <t>3114 / 3138/3139</t>
  </si>
  <si>
    <t>3104 / 3122</t>
  </si>
  <si>
    <t>3110 / 3132</t>
  </si>
  <si>
    <t>3105 / 3123</t>
  </si>
  <si>
    <t>3111 / 3133</t>
  </si>
  <si>
    <t>No. of variations</t>
  </si>
  <si>
    <t>No. of strengths</t>
  </si>
  <si>
    <t>Special cases / comments</t>
  </si>
  <si>
    <t>Role</t>
  </si>
  <si>
    <t>administrative (A)</t>
  </si>
  <si>
    <t>regulatory/clinical (C)</t>
  </si>
  <si>
    <t>quality, simple (B or D)</t>
  </si>
  <si>
    <t>quality, complex (B or D)</t>
  </si>
  <si>
    <t>single variation only</t>
  </si>
  <si>
    <t>admin. fee of 77 € included</t>
  </si>
  <si>
    <t>R-025</t>
  </si>
  <si>
    <t>R-024</t>
  </si>
  <si>
    <t>R-023</t>
  </si>
  <si>
    <t>R-034</t>
  </si>
  <si>
    <t>R-033</t>
  </si>
  <si>
    <t>R-032</t>
  </si>
  <si>
    <t>R-008</t>
  </si>
  <si>
    <t>R-040</t>
  </si>
  <si>
    <t>R-007</t>
  </si>
  <si>
    <t>admin. fee of 77 € (S-001) included</t>
  </si>
  <si>
    <t>TSE CEP &amp; others</t>
  </si>
  <si>
    <t>if CMS is not concerned</t>
  </si>
  <si>
    <t>link to HA fee website</t>
  </si>
  <si>
    <t>Complex quality variations mean applications for type II variations that will result in a complex assessment. The list includes the following changes:</t>
  </si>
  <si>
    <t>According to the attachment 2 of the AIFA Decree dated December 6th 2016, some variations can be considered consequential or correlated and a reduced fee is foreseen (a unique fee is applied correspondent to the fee due for the highest variation category) since they do not imply a further assessment from the Authority. In this Decree it is stated that 2 variations can be considered correlated if, other, their even if not depending from each assessment is connected from a technical scientific point of view.
Excerpt from Decree:
Point 1: Addition of a new Manufacturing site for the finished product: when a new site is proposed for more phases of manufacturing process (i.e. bulk production, primary and secondary packaging, batch release and batch control), the variations for the addition of the site for the single phases can be considered as correlated […] 
Point 4: Change of the specification parameters of the active substance or finished product: if in the same application it is requested the addition or replacement of a specification parameter that needs the change or the introduction of a new test procedure, the variations can considered correlated […]</t>
  </si>
  <si>
    <t>MEB fee rate change as of January 2020</t>
  </si>
  <si>
    <t>proof of payment &amp; invoice</t>
  </si>
  <si>
    <t>212</t>
  </si>
  <si>
    <t>reduced rate</t>
  </si>
  <si>
    <t>standard - reduced rate</t>
  </si>
  <si>
    <t>complex - reduced rate</t>
  </si>
  <si>
    <t>218</t>
  </si>
  <si>
    <t>235</t>
  </si>
  <si>
    <t>Fee code</t>
  </si>
  <si>
    <t>215</t>
  </si>
  <si>
    <t>238</t>
  </si>
  <si>
    <t>222</t>
  </si>
  <si>
    <t>B.I.a.1</t>
  </si>
  <si>
    <t>B.I.a.2</t>
  </si>
  <si>
    <t>B.I.e.1</t>
  </si>
  <si>
    <t>B.II.a.3</t>
  </si>
  <si>
    <t>Change in the manufacturer of a starting material/reagent/intermediate used in the manufacturing process of the active substance or change in the manufacturer (including where relevant quality control sites) of the active substance, where no Ph. Eur. Certificate of Suitability is part of the approved dossier</t>
  </si>
  <si>
    <t>b) Introduction of a new manufacturer of the active substance that is supported by an ASMF.c) The proposed manufacturer uses a substantially different route of synthesis or manufacturing conditions, which may have a potential to change important quality characteristics of the active substance, such as qualitative and/or quantitative impurity profile requiring qualification, or physico-chemical properties impacting on bioavailability.d) New manufacturer of material for which an assessment is required of viral safety and/or TSE risk.</t>
  </si>
  <si>
    <t>Changes in the manufacturing process of the active substance</t>
  </si>
  <si>
    <t>b) Substantial change to the manufacturing process of the active substance which may have a significant impact on the quality, safety or efficacy of the medicinal product.</t>
  </si>
  <si>
    <t>a)One unit operation in the manufacturing process of the active substance including the resulting in-process controls and/or test procedures.b)Test procedures for starting materials/reagents/intermediates and/or the active substance.</t>
  </si>
  <si>
    <t>B.II.a.5</t>
  </si>
  <si>
    <t>B.II.b.3</t>
  </si>
  <si>
    <t>B.II.c.3</t>
  </si>
  <si>
    <t>B.II.d.3</t>
  </si>
  <si>
    <t>B.II.e.1</t>
  </si>
  <si>
    <t>Changes in the composition (excipients) of the finished product</t>
  </si>
  <si>
    <t>b) Other excipients.2. Qualitative or quantitative changes in one or more excipients that may have a significant impact on the safety, quality or efficacy of the medicinal product.4. Any new excipient that includes the use of materials of human or animal origin for which assessment is required of viral safety data or TSE risk.5. Change that is supported by a bioequivalence study</t>
  </si>
  <si>
    <t>Introduction of a post approval change management protocol related to the active substance</t>
  </si>
  <si>
    <t>Introduction of a new design space or extension of an approveddesign space for the active substance, concerning</t>
  </si>
  <si>
    <t>Change in concentration of a single-dose, total use parenteral product, where the amount of active substance per unit dose (i.e. the strength) remains the same</t>
  </si>
  <si>
    <t>Change in the manufacturing process of the finished product, including an intermediate used in the manufacture of the finished product</t>
  </si>
  <si>
    <t>b)Substantial changes to a manufacturing process that may have a significant impact on the quality, safety and efficacy of the medicinal product.</t>
  </si>
  <si>
    <t>Change in source of an excipient or reagent with TSE risk</t>
  </si>
  <si>
    <t>b) Change or introduction of a TSE risk material or replacement of a TSE risk material from a different TSE risk material, not covered by a TSE certificate of suitability</t>
  </si>
  <si>
    <t>Variations related to the introduction of real-time release or parametric release in the manufacture of the finished produc</t>
  </si>
  <si>
    <t>Change in immediate packaging of the finished product</t>
  </si>
  <si>
    <t>b) Type of containeror addition of a new container.2. Sterile medicinal products and biological/immunological medicinal products</t>
  </si>
  <si>
    <t>B.II.g.1</t>
  </si>
  <si>
    <t>Introduction of a new design space or extension of an approved design space for the finished product, excludingbiologicals, concerning</t>
  </si>
  <si>
    <t>a)One or more unit operations in the manufacturing process of the finished product including the resulting in-process controls and/or test procedures.b)Test procedures for excipients/intermediates and/or the finished product.</t>
  </si>
  <si>
    <t>B.II.g.2</t>
  </si>
  <si>
    <t>Introduction of a post approval change management protocol related to the finished product</t>
  </si>
  <si>
    <t>C.I.4</t>
  </si>
  <si>
    <t>Variations related to significant modifications of the Summary of Product Characteristics due in particular to new quality, pre-clinical, clinical or pharmacovigilance data –SmPC sections 4.2, 4.3 or5.1.One complex fee is charged if the additional changes applied for are consequential to the main change.</t>
  </si>
  <si>
    <t>C.I.6</t>
  </si>
  <si>
    <t>Change(s) to therapeutic indication(s)</t>
  </si>
  <si>
    <t>a) Addition of a new therapeutic indication or modification of an approved one. (Note:complex fee not charged for a modification)</t>
  </si>
  <si>
    <t>Reduced rates</t>
  </si>
  <si>
    <t>Withdrawn applications</t>
  </si>
  <si>
    <t>Applications for variations to authorisations that are withdrawn by the applicant will incur an administrative fee of up to 10% of the variation fee.</t>
  </si>
  <si>
    <t>Complex variations:</t>
  </si>
  <si>
    <t>B.I.a.1.b
B.I.a.1.c
B.I.a.1.e
B.1.a.1.g
B.I.a.2.c
B.I.a.3.c
B.I.a.5</t>
  </si>
  <si>
    <t>B.II.a.3.b.2
B.II.a.3.b.5</t>
  </si>
  <si>
    <t>B.I.z
B.II.a.z</t>
  </si>
  <si>
    <t>B.I.e.1
B.II.g.1</t>
  </si>
  <si>
    <t>B.I.e.2
B.II.g.2</t>
  </si>
  <si>
    <t>B.II.b.1.c
B.II.b.3.c
B.II.b.4.c</t>
  </si>
  <si>
    <t>D.Sp.No.</t>
  </si>
  <si>
    <t>D.Sp.No. stands for ”Danish speciality number”. We allocate a D.Sp.No. to all new applications for marketing authorisations. The number is stated in the marketing authorisation for the medicinal product, in section 0 of the summary of product characteristics and in any other external correspondence about the medicinal product.
Medicinal products that have the same D.Sp.No. are characterised in that they belong to the same product family and form part of the same global marketing authorisation. This is in accordance with section 26 of the Danish executive order on marketing authorisation etc. from 2005, as amended (Danish executive order no. 1239 of 12 December 2005): 
"Section 26. Once a medicinal product has been granted an initial marketing authorisation, any additional animal species, strengths, pharmaceutical forms, routes of administration and pack sizes as well as all changes and renewals must also be authorised or be covered by the original marketing authorisation. All these marketing authorisations are considered to form part of the same overall marketing authorisation."</t>
  </si>
  <si>
    <t>DK – D.Sp.No. &amp; complex variations</t>
  </si>
  <si>
    <t>FR – List of type IA variations subject to a fee of 2.500 €</t>
  </si>
  <si>
    <t>IE – Reduced rates &amp; list of complex variations</t>
  </si>
  <si>
    <t>IT – fee reductions</t>
  </si>
  <si>
    <t>LT – List of type II variations subject to a fee of 845 €</t>
  </si>
  <si>
    <t>PL – List of variations subject to a reduced fee of 420 PLN</t>
  </si>
  <si>
    <t>PT – Explanations to variation fees</t>
  </si>
  <si>
    <t>to adopt version 1.0</t>
  </si>
  <si>
    <t>to check HA fee websites</t>
  </si>
  <si>
    <t>to update national exchange rates</t>
  </si>
  <si>
    <t xml:space="preserve">to update fees for BE, DK, IE </t>
  </si>
  <si>
    <t>to adopt version 2.0 (new layout)</t>
  </si>
  <si>
    <t>to delete the "introduction" sheet</t>
  </si>
  <si>
    <t>C.I.6(a) - new indication</t>
  </si>
  <si>
    <t>Comments</t>
  </si>
  <si>
    <t>to update fees for NO</t>
  </si>
  <si>
    <t>Other categories of variations where there are substantial changes may be complex and will be considered on a case-by-case basis:</t>
  </si>
  <si>
    <t>Grouping &amp; work-sharing</t>
  </si>
  <si>
    <t>Grouped and work-sharing applications which include multiple variations will be charged in accordance with the relevant fee for each variation included in the group or work-sharing application up to a maximum of €5,395 (fee code 245) per MA range, €3,485 (fee code 236) per MA and €5,845 (fee code 237) for work-sharing applications.</t>
  </si>
  <si>
    <t>Topic</t>
  </si>
  <si>
    <t>Reduced rates apply to bulk variations where the same change is made to three or more MAs (within an MA range). The changes to the first two MAs are charged at the full rate. For changes to only one or two MAs, each change for each MA attracts the full-rate fee.
Fee code 214 and the reduced rate code 215 apply to Type IB applications, i.e. those changes which are not defined as Type IA or Type II. The reduced Type IB code 215 also applies to MR applications where Ireland is the CMS but where the change proposed does not affect the medicinal product on the Irish market.</t>
  </si>
  <si>
    <t>214/236/245</t>
  </si>
  <si>
    <t>211/236/245</t>
  </si>
  <si>
    <t>reduced rate (CMS IE not affected)</t>
  </si>
  <si>
    <t>211/213/236/245</t>
  </si>
  <si>
    <t>CH</t>
  </si>
  <si>
    <t>to change layout and to simplify grouping</t>
  </si>
  <si>
    <t>5.1</t>
  </si>
  <si>
    <t>5.2</t>
  </si>
  <si>
    <t>5.3</t>
  </si>
  <si>
    <t>5.4</t>
  </si>
  <si>
    <t>5.5</t>
  </si>
  <si>
    <t>6.1</t>
  </si>
  <si>
    <t>7.1 / 7.2</t>
  </si>
  <si>
    <t>neue oder geänderte Indikation</t>
  </si>
  <si>
    <t>neue oder geänderte Dosierung</t>
  </si>
  <si>
    <t>größere Änderung der AM-Info.</t>
  </si>
  <si>
    <t>größere Änderung der Qualität</t>
  </si>
  <si>
    <t>Umteilung in andere Abgabekat.</t>
  </si>
  <si>
    <t>sonstige größere Änderung</t>
  </si>
  <si>
    <t>SWISSMEDIC</t>
  </si>
  <si>
    <t>EMA</t>
  </si>
  <si>
    <t>EU</t>
  </si>
  <si>
    <t>other major change</t>
  </si>
  <si>
    <t>new or changed indication</t>
  </si>
  <si>
    <t>new or changed posology</t>
  </si>
  <si>
    <t>major change - quality</t>
  </si>
  <si>
    <t>major change - product information</t>
  </si>
  <si>
    <t>change in "Abgabekategorie"</t>
  </si>
  <si>
    <t>Type IA 
(€)</t>
  </si>
  <si>
    <t>Type IB 
(€)</t>
  </si>
  <si>
    <t>Type II 
(€)</t>
  </si>
  <si>
    <t>1st variation</t>
  </si>
  <si>
    <t>each additional variation</t>
  </si>
  <si>
    <t>Fees charged for</t>
  </si>
  <si>
    <t>state fee of 16 € not included</t>
  </si>
  <si>
    <t>Sub-total or
cap fee (€)</t>
  </si>
  <si>
    <t>to update fees for LV</t>
  </si>
  <si>
    <t>4.5</t>
  </si>
  <si>
    <t>4.4</t>
  </si>
  <si>
    <t>published in the Official Gazette No. 668 of 9 August 2019</t>
  </si>
  <si>
    <t>reduced</t>
  </si>
  <si>
    <t>Annex 1.2.2</t>
  </si>
  <si>
    <t>Annex 1.2.1</t>
  </si>
  <si>
    <t>fixed fees</t>
  </si>
  <si>
    <t>to update fees for IT</t>
  </si>
  <si>
    <t>Total fees</t>
  </si>
  <si>
    <r>
      <rPr>
        <b/>
        <sz val="11"/>
        <color theme="1"/>
        <rFont val="Calibri"/>
        <family val="2"/>
        <scheme val="minor"/>
      </rPr>
      <t>Reduced fees</t>
    </r>
    <r>
      <rPr>
        <sz val="11"/>
        <color theme="1"/>
        <rFont val="Calibri"/>
        <family val="2"/>
        <scheme val="minor"/>
      </rPr>
      <t xml:space="preserve">
National procedure / MR IT CMS - Type II variations pursuant to Regulation (EC) 1234/2008 - reduced rate provided for:
- Quality variations (for example changes in chemical, pharmaceutical and biological documentation) for which no new clinical data are submitted (bioequivalence data, bibliographic data, pre-clinical data and pharmacovigilance data are to be considered clinical data)
- variations relevant to the Module 1 that do not imply the submission of further updates of the other modules; variations with changes of the SmPC and PIL are excluded;
- variations relevant to SmPC, labelling and/or package leaflet for which no new clinical data are submitted (bioequivalence data, bibliographic data, pre-clinical data and pharmacovigilance data are to be considered clinical data)</t>
    </r>
  </si>
  <si>
    <t>Individual fees for</t>
  </si>
  <si>
    <t>to update fees for EMA's Type II variations</t>
  </si>
  <si>
    <t>to include the cap fee for grouping of variations for PL</t>
  </si>
  <si>
    <t>to include the cap fee for grouping of Type IB variations for IE</t>
  </si>
  <si>
    <t>fees last checked on HA websites</t>
  </si>
  <si>
    <t>fees checked on HA websites</t>
  </si>
  <si>
    <t>Ministerialbeschluss vom 31.12.2008</t>
  </si>
  <si>
    <t>"Official Gazette of the Republic of Serbia", No. 95/2017</t>
  </si>
  <si>
    <t>CY MOH</t>
  </si>
  <si>
    <t>Art. III, 5° a)</t>
  </si>
  <si>
    <t>Art. III, 5° b)</t>
  </si>
  <si>
    <t>Art. IV, 5°</t>
  </si>
  <si>
    <t>1.9</t>
  </si>
  <si>
    <t>1.10</t>
  </si>
  <si>
    <t>1.13</t>
  </si>
  <si>
    <t>1.11</t>
  </si>
  <si>
    <t>1.12</t>
  </si>
  <si>
    <t>3.8</t>
  </si>
  <si>
    <t>to add cap fee for grouping in DE</t>
  </si>
  <si>
    <t>34. / 35. / 37.1</t>
  </si>
  <si>
    <t>to update UK fees (national/CMS)</t>
  </si>
  <si>
    <t>Annex 1.2.3/1.2.1</t>
  </si>
  <si>
    <t>as of 1 January 2022</t>
  </si>
  <si>
    <t>to check fees on HA websites</t>
  </si>
  <si>
    <t>to delete UK as RMS and add XI (UK(NI)) as CMS</t>
  </si>
  <si>
    <t>2.13</t>
  </si>
  <si>
    <t>to update IS and ES fees</t>
  </si>
  <si>
    <t>to update BE fees</t>
  </si>
  <si>
    <t>to update IT fees</t>
  </si>
  <si>
    <t>to update EMA fees</t>
  </si>
  <si>
    <t>to correct calculation of RO fees</t>
  </si>
  <si>
    <t>to update DK fees</t>
  </si>
  <si>
    <t>to correct calculation of FI fees and to update national exchange rates</t>
  </si>
  <si>
    <t>if a cap fee applies the fees for individual variations are shaded in grey and striked through</t>
  </si>
  <si>
    <t>Last updated: 21.09.2022</t>
  </si>
  <si>
    <t>to update EE fees and national exchange rates</t>
  </si>
  <si>
    <t>to update SI fees</t>
  </si>
  <si>
    <t>administrative (A.1, A.4, A.5a, A.5b)</t>
  </si>
  <si>
    <t>herbal, admin. (A.1, A.4, A.5a, A.5b)</t>
  </si>
  <si>
    <t>vom 14. September 2018 (Stand am 1. Januar 2023)</t>
  </si>
  <si>
    <t>Atualização do anexo I à Portaria n.º 377/2005, de 4 de abril</t>
  </si>
  <si>
    <t>to check the fees in general; HR has adopted the Euro</t>
  </si>
  <si>
    <t>Article 18 (1)</t>
  </si>
  <si>
    <t>Article 18 (2)</t>
  </si>
  <si>
    <t>Article 18 (3)</t>
  </si>
  <si>
    <t>to update SI fees and national exchange rates</t>
  </si>
  <si>
    <t>to update GB and EMA fees</t>
  </si>
  <si>
    <t>to update IS and IE fees</t>
  </si>
  <si>
    <t>2.9</t>
  </si>
  <si>
    <t>to update IT fees and national exchange rates</t>
  </si>
  <si>
    <t>1.1.1 / 1.1.2</t>
  </si>
  <si>
    <t>1.2.1 / 1.2.2</t>
  </si>
  <si>
    <t>1.1.4</t>
  </si>
  <si>
    <t>1.3.1 / 1.3.2</t>
  </si>
  <si>
    <t>1.4.1 / 1.4.2</t>
  </si>
  <si>
    <t>2.1.1 / 2.1.2</t>
  </si>
  <si>
    <t>2.1.4</t>
  </si>
  <si>
    <t>2.2.1 / 2.2.2</t>
  </si>
  <si>
    <t>2.3.1 / 2.3.2</t>
  </si>
  <si>
    <t>2.4.1 / 2.4.2</t>
  </si>
  <si>
    <t>3.1.1 / 3.1.2</t>
  </si>
  <si>
    <t>3.2.1 / 3.2.2</t>
  </si>
  <si>
    <t>3.3.1 / 3.3.2</t>
  </si>
  <si>
    <t>3.4.1 / 3.4.2</t>
  </si>
  <si>
    <t>to update ES fees</t>
  </si>
  <si>
    <t>Law 38/2022 entry into force on June 28, 2023</t>
  </si>
  <si>
    <t>Group 1 - 1.6</t>
  </si>
  <si>
    <t>Group 1 - 1.7</t>
  </si>
  <si>
    <t>Group 1 - 1.5</t>
  </si>
  <si>
    <t>refer to bullet point: "Act XCV of 2005 on Medicinal Products for Human Use and ...", Annex 1</t>
  </si>
  <si>
    <t>to correct calculation of HU fees and to update national exchange rates</t>
  </si>
  <si>
    <t>to correct calculation of ES fees</t>
  </si>
  <si>
    <t>to correct calculation of cap fee in DE</t>
  </si>
  <si>
    <t>to correct NO fees; payment by invoice in Belgium from 2024; to update national exchange rates</t>
  </si>
  <si>
    <t>to update fees</t>
  </si>
  <si>
    <t>https://vvkt.lrv.lt/en/marketing-authorisation/marketing-authorization-fees/</t>
  </si>
  <si>
    <t>No. 1554 as of 18. December 2023</t>
  </si>
  <si>
    <t>to update NO fees; to update national exchange rates</t>
  </si>
  <si>
    <t>to correct calculation of SI fees</t>
  </si>
  <si>
    <t>Fees dated 01.01.2024; the value of one point is currently 5.8 € excl. VAT</t>
  </si>
  <si>
    <t>to correct calculation of SK fees</t>
  </si>
  <si>
    <t>to correct calculation of HR fees</t>
  </si>
  <si>
    <t>to correct calculation of UK fees</t>
  </si>
  <si>
    <t>to correct calculation of SI fees &amp; to update IT fees</t>
  </si>
  <si>
    <t>full application - 8(3), 10(a)</t>
  </si>
  <si>
    <t>abbreviated application - 10(1), 10(3)</t>
  </si>
  <si>
    <t>full &amp; abbreviated application</t>
  </si>
  <si>
    <t>to correct IT &amp; ES fees (ES: distinction between full &amp; abbreviated applications)</t>
  </si>
  <si>
    <t>Cap Fee</t>
  </si>
  <si>
    <t>Full application - 8(3), 10(a)</t>
  </si>
  <si>
    <t>8,736.33 €</t>
  </si>
  <si>
    <t>17,043.00 €</t>
  </si>
  <si>
    <t>Abbreviated application - 10(1), 10(3)</t>
  </si>
  <si>
    <t>ES – cap fee for variations depending on type of MAA</t>
  </si>
  <si>
    <t>https://www.ecb.europa.eu/</t>
  </si>
  <si>
    <t>https://bankenverband.de/service/waehrungsrechner/table/</t>
  </si>
  <si>
    <t>Währungeswechsel für EURO 1</t>
  </si>
  <si>
    <t>Currency Name</t>
  </si>
  <si>
    <t>Code</t>
  </si>
  <si>
    <t>Euro/1 unit</t>
  </si>
  <si>
    <t>Unit/1 EUR</t>
  </si>
  <si>
    <t>AED</t>
  </si>
  <si>
    <t>AFN</t>
  </si>
  <si>
    <t>ALL</t>
  </si>
  <si>
    <t>AMD</t>
  </si>
  <si>
    <t>ANG</t>
  </si>
  <si>
    <t>AOA</t>
  </si>
  <si>
    <t>ARS</t>
  </si>
  <si>
    <t>AUD</t>
  </si>
  <si>
    <t>AWG</t>
  </si>
  <si>
    <t>AZN</t>
  </si>
  <si>
    <t>BAM</t>
  </si>
  <si>
    <t>BBD</t>
  </si>
  <si>
    <t>BDT</t>
  </si>
  <si>
    <t>BGN</t>
  </si>
  <si>
    <t>BHD</t>
  </si>
  <si>
    <t>BIF</t>
  </si>
  <si>
    <t>BMD</t>
  </si>
  <si>
    <t>BND</t>
  </si>
  <si>
    <t>BOB</t>
  </si>
  <si>
    <t>BRL</t>
  </si>
  <si>
    <t>BSD</t>
  </si>
  <si>
    <t>BTC</t>
  </si>
  <si>
    <t>BTN</t>
  </si>
  <si>
    <t>BWP</t>
  </si>
  <si>
    <t>BYN</t>
  </si>
  <si>
    <t>BYR</t>
  </si>
  <si>
    <t>BZD</t>
  </si>
  <si>
    <t>CAD</t>
  </si>
  <si>
    <t>CDF</t>
  </si>
  <si>
    <t>CHF</t>
  </si>
  <si>
    <t>CLF</t>
  </si>
  <si>
    <t>CLP</t>
  </si>
  <si>
    <t>CNY</t>
  </si>
  <si>
    <t>COP</t>
  </si>
  <si>
    <t>CRC</t>
  </si>
  <si>
    <t>CUC</t>
  </si>
  <si>
    <t>CUP</t>
  </si>
  <si>
    <t>CVE</t>
  </si>
  <si>
    <t>CZK</t>
  </si>
  <si>
    <t>DJF</t>
  </si>
  <si>
    <t>DKK</t>
  </si>
  <si>
    <t>DOP</t>
  </si>
  <si>
    <t>DZD</t>
  </si>
  <si>
    <t>EGP</t>
  </si>
  <si>
    <t>ERN</t>
  </si>
  <si>
    <t>ETB</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</si>
  <si>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</si>
  <si>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</si>
  <si>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</si>
  <si>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</si>
  <si>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</si>
  <si>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</si>
  <si>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</si>
  <si>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</si>
  <si>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</si>
  <si>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</si>
  <si>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</si>
  <si>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</si>
  <si>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</si>
  <si>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</si>
  <si>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</si>
  <si>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</si>
  <si>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</si>
  <si>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</si>
  <si>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</si>
  <si>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</si>
  <si>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</si>
  <si>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</si>
  <si>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</si>
  <si>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</si>
  <si>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</si>
  <si>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</si>
  <si>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</si>
  <si>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</si>
  <si>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</si>
  <si>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</si>
  <si>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</si>
  <si>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</si>
  <si>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</si>
  <si>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</si>
  <si>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</si>
  <si>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</si>
  <si>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</si>
  <si>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</si>
  <si>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</si>
  <si>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</si>
  <si>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</si>
  <si>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</si>
  <si>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</si>
  <si>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</si>
  <si>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</si>
  <si>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</si>
  <si>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</si>
  <si>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</si>
  <si>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</si>
  <si>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</si>
  <si>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</si>
  <si>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</si>
  <si>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</si>
  <si>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</si>
  <si>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</si>
  <si>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</si>
  <si>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</si>
  <si>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</si>
  <si>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</si>
  <si>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</si>
  <si>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</si>
  <si>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</si>
  <si>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</si>
  <si>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</si>
  <si>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</si>
  <si>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</si>
  <si>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</si>
  <si>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</si>
  <si>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</si>
  <si>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</si>
  <si>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</si>
  <si>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</si>
  <si>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</si>
  <si>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</si>
  <si>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</si>
  <si>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</si>
  <si>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</si>
  <si>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</si>
  <si>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</si>
  <si>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</si>
  <si>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</si>
  <si>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</si>
  <si>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</si>
  <si>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</si>
  <si>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</si>
  <si>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</si>
  <si>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</si>
  <si>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</si>
  <si>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</si>
  <si>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</si>
  <si>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</si>
  <si>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</si>
  <si>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</si>
  <si>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</si>
  <si>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</si>
  <si>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</si>
  <si>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</si>
  <si>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</si>
  <si>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</si>
  <si>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</si>
  <si>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</si>
  <si>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</si>
  <si>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</si>
  <si>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</si>
  <si>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</si>
  <si>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VND</t>
  </si>
  <si>
    <t>VUV</t>
  </si>
  <si>
    <t>WST</t>
  </si>
  <si>
    <t>XAF</t>
  </si>
  <si>
    <t>XAG</t>
  </si>
  <si>
    <t>XAU</t>
  </si>
  <si>
    <t>XCD</t>
  </si>
  <si>
    <t>XDR</t>
  </si>
  <si>
    <t>XOF</t>
  </si>
  <si>
    <t>XPF</t>
  </si>
  <si>
    <t>YER</t>
  </si>
  <si>
    <t>ZAR</t>
  </si>
  <si>
    <t>ZMK</t>
  </si>
  <si>
    <t>ZMW</t>
  </si>
  <si>
    <t>ZWL</t>
  </si>
  <si>
    <t>fees in effect as of 01 July 2024</t>
  </si>
  <si>
    <t>to update HR fees</t>
  </si>
  <si>
    <t>3.2.1.1.1.</t>
  </si>
  <si>
    <t>3.2.1.1.2.</t>
  </si>
  <si>
    <t>3.2.1.2.1</t>
  </si>
  <si>
    <t>3.2.1.2.2</t>
  </si>
  <si>
    <t>3.2.1.2.3</t>
  </si>
  <si>
    <t>3.2.2.1.1.</t>
  </si>
  <si>
    <t>3.2.2.1.2.</t>
  </si>
  <si>
    <t>3.2.2.2.1.</t>
  </si>
  <si>
    <t>3.1.1.1.</t>
  </si>
  <si>
    <t>3.1.1.2.</t>
  </si>
  <si>
    <t>3.1.2.1.</t>
  </si>
  <si>
    <t>3.1.2.2.</t>
  </si>
  <si>
    <t>3.1.2.3.</t>
  </si>
  <si>
    <t>to correct calculation of UK fees (type II, complex/extended, additional strengths)</t>
  </si>
  <si>
    <t>Regulation (EU) 2024/568 of the European Parliament and of the Council of 7 February 2024</t>
  </si>
  <si>
    <t>new or modification of indication</t>
  </si>
  <si>
    <t>not covered by point 5.1</t>
  </si>
  <si>
    <t>4.6</t>
  </si>
  <si>
    <t>Latvia (Lettland): refer to bullet point: "Paid Service Price List"; adopted on 18.12.2024</t>
  </si>
  <si>
    <t>to update DK &amp; IE fees</t>
  </si>
  <si>
    <t>United Arab Emirates Dirham (AED)</t>
  </si>
  <si>
    <t>Afghan Afghani (AFN)</t>
  </si>
  <si>
    <t>Albanian Lek (ALL)</t>
  </si>
  <si>
    <t>Armenian Dram (AMD)</t>
  </si>
  <si>
    <t>Netherlands Antillean Guilder (ANG)</t>
  </si>
  <si>
    <t>Angolan Kwanza (AOA)</t>
  </si>
  <si>
    <t>Argentine Peso (ARS)</t>
  </si>
  <si>
    <t>Australian Dollar (AUD)</t>
  </si>
  <si>
    <t>Aruban Florin (AWG)</t>
  </si>
  <si>
    <t>Azerbaijani Manat (AZN)</t>
  </si>
  <si>
    <t>Bosnia-Herzegovina Convertible Mark (BAM)</t>
  </si>
  <si>
    <t>Barbadian Dollar (BBD)</t>
  </si>
  <si>
    <t>Bangladeshi Taka (BDT)</t>
  </si>
  <si>
    <t>Bulgarian Lev (BGN)</t>
  </si>
  <si>
    <t>Bahraini Dinar (BHD)</t>
  </si>
  <si>
    <t>Burundian Franc (BIF)</t>
  </si>
  <si>
    <t>Bermudan Dollar (BMD)</t>
  </si>
  <si>
    <t>Brunei Dollar (BND)</t>
  </si>
  <si>
    <t>Bolivian Boliviano (BOB)</t>
  </si>
  <si>
    <t>Brazilian Real (BRL)</t>
  </si>
  <si>
    <t>Bahamian Dollar (BSD)</t>
  </si>
  <si>
    <t>Bitcoin (BTC)</t>
  </si>
  <si>
    <t>Bhutanese Ngultrum (BTN)</t>
  </si>
  <si>
    <t>Botswanan Pula (BWP)</t>
  </si>
  <si>
    <t>New Belarusian Ruble (BYN)</t>
  </si>
  <si>
    <t>Belarusian Ruble (BYR)</t>
  </si>
  <si>
    <t>Belize Dollar (BZD)</t>
  </si>
  <si>
    <t>Canadian Dollar (CAD)</t>
  </si>
  <si>
    <t>Congolese Franc (CDF)</t>
  </si>
  <si>
    <t>Swiss Franc (CHF)</t>
  </si>
  <si>
    <t>Chilean Unit of Account (UF) (CLF)</t>
  </si>
  <si>
    <t>Chilean Peso (CLP)</t>
  </si>
  <si>
    <t>Chinese Yuan (CNY)</t>
  </si>
  <si>
    <t>Colombian Peso (COP)</t>
  </si>
  <si>
    <t>Costa Rican Colón (CRC)</t>
  </si>
  <si>
    <t>Cuban Convertible Peso (CUC)</t>
  </si>
  <si>
    <t>Cuban Peso (CUP)</t>
  </si>
  <si>
    <t>Cape Verdean Escudo (CVE)</t>
  </si>
  <si>
    <t>Czech Republic Koruna (CZK)</t>
  </si>
  <si>
    <t>Djiboutian Franc (DJF)</t>
  </si>
  <si>
    <t>Danish Krone (DKK)</t>
  </si>
  <si>
    <t>Dominican Peso (DOP)</t>
  </si>
  <si>
    <t>Algerian Dinar (DZD)</t>
  </si>
  <si>
    <t>Egyptian Pound (EGP)</t>
  </si>
  <si>
    <t>Eritrean Nakfa (ERN)</t>
  </si>
  <si>
    <t>Ethiopian Birr (ETB)</t>
  </si>
  <si>
    <t>Fijian Dollar (FJD)</t>
  </si>
  <si>
    <t>Falkland Islands Pound (FKP)</t>
  </si>
  <si>
    <t>British Pound Sterling (GBP)</t>
  </si>
  <si>
    <t>Georgian Lari (GEL)</t>
  </si>
  <si>
    <t>Guernsey Pound (GGP)</t>
  </si>
  <si>
    <t>Ghanaian Cedi (GHS)</t>
  </si>
  <si>
    <t>Gibraltar Pound (GIP)</t>
  </si>
  <si>
    <t>Gambian Dalasi (GMD)</t>
  </si>
  <si>
    <t>Guinean Franc (GNF)</t>
  </si>
  <si>
    <t>Guatemalan Quetzal (GTQ)</t>
  </si>
  <si>
    <t>Guyanaese Dollar (GYD)</t>
  </si>
  <si>
    <t>Hong Kong Dollar (HKD)</t>
  </si>
  <si>
    <t>Honduran Lempira (HNL)</t>
  </si>
  <si>
    <t>Croatian Kuna (HRK)</t>
  </si>
  <si>
    <t>Haitian Gourde (HTG)</t>
  </si>
  <si>
    <t>Hungarian Forint (HUF)</t>
  </si>
  <si>
    <t>Indonesian Rupiah (IDR)</t>
  </si>
  <si>
    <t>Israeli New Sheqel (ILS)</t>
  </si>
  <si>
    <t>Manx pound (IMP)</t>
  </si>
  <si>
    <t>Indian Rupee (INR)</t>
  </si>
  <si>
    <t>Iraqi Dinar (IQD)</t>
  </si>
  <si>
    <t>Iranian Rial (IRR)</t>
  </si>
  <si>
    <t>Icelandic Króna (ISK)</t>
  </si>
  <si>
    <t>Jersey Pound (JEP)</t>
  </si>
  <si>
    <t>Jamaican Dollar (JMD)</t>
  </si>
  <si>
    <t>Jordanian Dinar (JOD)</t>
  </si>
  <si>
    <t>Japanese Yen (JPY)</t>
  </si>
  <si>
    <t>Kenyan Shilling (KES)</t>
  </si>
  <si>
    <t>Kyrgystani Som (KGS)</t>
  </si>
  <si>
    <t>Cambodian Riel (KHR)</t>
  </si>
  <si>
    <t>Comorian Franc (KMF)</t>
  </si>
  <si>
    <t>North Korean Won (KPW)</t>
  </si>
  <si>
    <t>South Korean Won (KRW)</t>
  </si>
  <si>
    <t>Kuwaiti Dinar (KWD)</t>
  </si>
  <si>
    <t>Cayman Islands Dollar (KYD)</t>
  </si>
  <si>
    <t>Kazakhstani Tenge (KZT)</t>
  </si>
  <si>
    <t>Laotian Kip (LAK)</t>
  </si>
  <si>
    <t>Lebanese Pound (LBP)</t>
  </si>
  <si>
    <t>Sri Lankan Rupee (LKR)</t>
  </si>
  <si>
    <t>Liberian Dollar (LRD)</t>
  </si>
  <si>
    <t>Lesotho Loti (LSL)</t>
  </si>
  <si>
    <t>Lithuanian Litas (LTL)</t>
  </si>
  <si>
    <t>Latvian Lats (LVL)</t>
  </si>
  <si>
    <t>Libyan Dinar (LYD)</t>
  </si>
  <si>
    <t>Moroccan Dirham (MAD)</t>
  </si>
  <si>
    <t>Moldovan Leu (MDL)</t>
  </si>
  <si>
    <t>Malagasy Ariary (MGA)</t>
  </si>
  <si>
    <t>Macedonian Denar (MKD)</t>
  </si>
  <si>
    <t>Myanma Kyat (MMK)</t>
  </si>
  <si>
    <t>Mongolian Tugrik (MNT)</t>
  </si>
  <si>
    <t>Macanese Pataca (MOP)</t>
  </si>
  <si>
    <t>Mauritanian Ouguiya_x000D_
 (MRU)</t>
  </si>
  <si>
    <t>Mauritian Rupee (MUR)</t>
  </si>
  <si>
    <t>Maldivian Rufiyaa (MVR)</t>
  </si>
  <si>
    <t>Malawian Kwacha (MWK)</t>
  </si>
  <si>
    <t>Mexican Peso (MXN)</t>
  </si>
  <si>
    <t>Malaysian Ringgit (MYR)</t>
  </si>
  <si>
    <t>Mozambican Metical (MZN)</t>
  </si>
  <si>
    <t>Namibian Dollar (NAD)</t>
  </si>
  <si>
    <t>Nigerian Naira (NGN)</t>
  </si>
  <si>
    <t>Nicaraguan Córdoba (NIO)</t>
  </si>
  <si>
    <t>Norwegian Krone (NOK)</t>
  </si>
  <si>
    <t>Nepalese Rupee (NPR)</t>
  </si>
  <si>
    <t>New Zealand Dollar (NZD)</t>
  </si>
  <si>
    <t>Omani Rial (OMR)</t>
  </si>
  <si>
    <t>Panamanian Balboa (PAB)</t>
  </si>
  <si>
    <t>Peruvian Nuevo Sol (PEN)</t>
  </si>
  <si>
    <t>Papua New Guinean Kina (PGK)</t>
  </si>
  <si>
    <t>Philippine Peso (PHP)</t>
  </si>
  <si>
    <t>Pakistani Rupee (PKR)</t>
  </si>
  <si>
    <t>Polish Zloty (PLN)</t>
  </si>
  <si>
    <t>Paraguayan Guarani (PYG)</t>
  </si>
  <si>
    <t>Qatari Rial (QAR)</t>
  </si>
  <si>
    <t>Romanian Leu (RON)</t>
  </si>
  <si>
    <t>Serbian Dinar (RSD)</t>
  </si>
  <si>
    <t>Russian Ruble (RUB)</t>
  </si>
  <si>
    <t>Rwandan Franc (RWF)</t>
  </si>
  <si>
    <t>Saudi Riyal (SAR)</t>
  </si>
  <si>
    <t>Solomon Islands Dollar (SBD)</t>
  </si>
  <si>
    <t>Seychellois Rupee (SCR)</t>
  </si>
  <si>
    <t>Sudanese Pound (SDG)</t>
  </si>
  <si>
    <t>Swedish Krona (SEK)</t>
  </si>
  <si>
    <t>Singapore Dollar (SGD)</t>
  </si>
  <si>
    <t>Saint Helena Pound (SHP)</t>
  </si>
  <si>
    <t>Sierra Leonean Leone (SLL)</t>
  </si>
  <si>
    <t>Somali Shilling (SOS)</t>
  </si>
  <si>
    <t>Surinamese Dollar (SRD)</t>
  </si>
  <si>
    <t>São Tomé and Príncipe Dobra (STD)</t>
  </si>
  <si>
    <t>Salvadoran Colón (SVC)</t>
  </si>
  <si>
    <t>Syrian Pound (SYP)</t>
  </si>
  <si>
    <t>Swazi Lilangeni (SZL)</t>
  </si>
  <si>
    <t>Thai Baht (THB)</t>
  </si>
  <si>
    <t>Tajikistani Somoni (TJS)</t>
  </si>
  <si>
    <t>Turkmenistani Manat (TMT)</t>
  </si>
  <si>
    <t>Tunisian Dinar (TND)</t>
  </si>
  <si>
    <t>Tongan Paʻanga (TOP)</t>
  </si>
  <si>
    <t>Turkish Lira (TRY)</t>
  </si>
  <si>
    <t>Trinidad and Tobago Dollar (TTD)</t>
  </si>
  <si>
    <t>New Taiwan Dollar (TWD)</t>
  </si>
  <si>
    <t>Tanzanian Shilling (TZS)</t>
  </si>
  <si>
    <t>Ukrainian Hryvnia (UAH)</t>
  </si>
  <si>
    <t>Ugandan Shilling (UGX)</t>
  </si>
  <si>
    <t>United States Dollar (USD)</t>
  </si>
  <si>
    <t>Uruguayan Peso (UYU)</t>
  </si>
  <si>
    <t>Uzbekistan Som (UZS)</t>
  </si>
  <si>
    <t>Vietnamese Dong (VND)</t>
  </si>
  <si>
    <t>Vanuatu Vatu (VUV)</t>
  </si>
  <si>
    <t>Samoan Tala (WST)</t>
  </si>
  <si>
    <t>CFA Franc BEAC (XAF)</t>
  </si>
  <si>
    <t>Silver (troy ounce) (XAG)</t>
  </si>
  <si>
    <t>Gold (troy ounce) (XAU)</t>
  </si>
  <si>
    <t>East Caribbean Dollar (XCD)</t>
  </si>
  <si>
    <t>Special Drawing Rights (XDR)</t>
  </si>
  <si>
    <t>CFA Franc BCEAO (XOF)</t>
  </si>
  <si>
    <t>CFP Franc (XPF)</t>
  </si>
  <si>
    <t>Yemeni Rial (YER)</t>
  </si>
  <si>
    <t>South African Rand (ZAR)</t>
  </si>
  <si>
    <t>Zambian Kwacha (pre-2013) (ZMK)</t>
  </si>
  <si>
    <t>Zambian Kwacha (ZMW)</t>
  </si>
  <si>
    <t>Zimbabwean Dollar (ZWL)</t>
  </si>
  <si>
    <t>to update NO fees; to check HU fees; to update national exchange rates</t>
  </si>
  <si>
    <t xml:space="preserve"> Current MHRA fees, updated 1 April 2025</t>
  </si>
  <si>
    <t>Besondere Gebührenverordnung BMG - BMGBGebV - Abschnitt 4, Tabelle 1 (Stand: 27.03.2024)</t>
  </si>
  <si>
    <t>fees as of 03.05.2019 (updated 13.03.2023)</t>
  </si>
  <si>
    <t>to update national exchange rates; to update HR, HU fees</t>
  </si>
  <si>
    <t>76,83716</t>
  </si>
  <si>
    <t>96,50985</t>
  </si>
  <si>
    <t>447,18294</t>
  </si>
  <si>
    <t>2,10017</t>
  </si>
  <si>
    <t>1.075,65508</t>
  </si>
  <si>
    <t>1.732,78052</t>
  </si>
  <si>
    <t>1,75261</t>
  </si>
  <si>
    <t>2,11289</t>
  </si>
  <si>
    <t>1,99878</t>
  </si>
  <si>
    <t>1,95660</t>
  </si>
  <si>
    <t>2,36237</t>
  </si>
  <si>
    <t>143,40867</t>
  </si>
  <si>
    <t>1,95507</t>
  </si>
  <si>
    <t>0,44325</t>
  </si>
  <si>
    <t>3.473,29707</t>
  </si>
  <si>
    <t>1,17302</t>
  </si>
  <si>
    <t>1,50892</t>
  </si>
  <si>
    <t>8,10502</t>
  </si>
  <si>
    <t>6,36138</t>
  </si>
  <si>
    <t>1,17268</t>
  </si>
  <si>
    <t>0,00001</t>
  </si>
  <si>
    <t>105,68224</t>
  </si>
  <si>
    <t>16,38670</t>
  </si>
  <si>
    <t>3,44481</t>
  </si>
  <si>
    <t>22.991,09170</t>
  </si>
  <si>
    <t>2,35847</t>
  </si>
  <si>
    <t>1,61143</t>
  </si>
  <si>
    <t>2.575,94111</t>
  </si>
  <si>
    <t>0,02711</t>
  </si>
  <si>
    <t>1.063,40884</t>
  </si>
  <si>
    <t>8,20389</t>
  </si>
  <si>
    <t>4.430,61797</t>
  </si>
  <si>
    <t>583,43869</t>
  </si>
  <si>
    <t>31,08489</t>
  </si>
  <si>
    <t>110,70333</t>
  </si>
  <si>
    <t>208,46867</t>
  </si>
  <si>
    <t>73,90036</t>
  </si>
  <si>
    <t>152,16471</t>
  </si>
  <si>
    <t>56,04632</t>
  </si>
  <si>
    <t>17,59522</t>
  </si>
  <si>
    <t>182,05645</t>
  </si>
  <si>
    <t>2,67770</t>
  </si>
  <si>
    <t>0,87042</t>
  </si>
  <si>
    <t>3,15587</t>
  </si>
  <si>
    <t>12,28403</t>
  </si>
  <si>
    <t>86,80352</t>
  </si>
  <si>
    <t>10.259,19706</t>
  </si>
  <si>
    <t>8,99608</t>
  </si>
  <si>
    <t>245,34037</t>
  </si>
  <si>
    <t>9,14007</t>
  </si>
  <si>
    <t>31,02670</t>
  </si>
  <si>
    <t>7,54136</t>
  </si>
  <si>
    <t>153,49279</t>
  </si>
  <si>
    <t>383,54113</t>
  </si>
  <si>
    <t>19.592,28108</t>
  </si>
  <si>
    <t>3,73784</t>
  </si>
  <si>
    <t>105,58829</t>
  </si>
  <si>
    <t>1.536,64950</t>
  </si>
  <si>
    <t>49.413,25235</t>
  </si>
  <si>
    <t>186,34624</t>
  </si>
  <si>
    <t>0,83171</t>
  </si>
  <si>
    <t>183,91119</t>
  </si>
  <si>
    <t>151,31933</t>
  </si>
  <si>
    <t>102,57253</t>
  </si>
  <si>
    <t>4.709,65517</t>
  </si>
  <si>
    <t>493,83968</t>
  </si>
  <si>
    <t>1.055,73536</t>
  </si>
  <si>
    <t>1.692,15653</t>
  </si>
  <si>
    <t>0,36049</t>
  </si>
  <si>
    <t>0,97720</t>
  </si>
  <si>
    <t>594,98341</t>
  </si>
  <si>
    <t>25.337,12188</t>
  </si>
  <si>
    <t>105.417,71790</t>
  </si>
  <si>
    <t>363,30863</t>
  </si>
  <si>
    <t>209,55956</t>
  </si>
  <si>
    <t>19,35917</t>
  </si>
  <si>
    <t>3,46361</t>
  </si>
  <si>
    <t>0,70955</t>
  </si>
  <si>
    <t>6,35819</t>
  </si>
  <si>
    <t>10,71256</t>
  </si>
  <si>
    <t>19,73808</t>
  </si>
  <si>
    <t>5.372,40857</t>
  </si>
  <si>
    <t>61,55316</t>
  </si>
  <si>
    <t>2.463,15472</t>
  </si>
  <si>
    <t>4.176,55378</t>
  </si>
  <si>
    <t>9,41295</t>
  </si>
  <si>
    <t>46,59260</t>
  </si>
  <si>
    <t>54,13508</t>
  </si>
  <si>
    <t>18,13525</t>
  </si>
  <si>
    <t>2.037,52726</t>
  </si>
  <si>
    <t>21,00295</t>
  </si>
  <si>
    <t>4,75545</t>
  </si>
  <si>
    <t>74,96003</t>
  </si>
  <si>
    <t>19,35912</t>
  </si>
  <si>
    <t>1.682,53780</t>
  </si>
  <si>
    <t>42,93671</t>
  </si>
  <si>
    <t>169,09118</t>
  </si>
  <si>
    <t>2,03366</t>
  </si>
  <si>
    <t>0,45205</t>
  </si>
  <si>
    <t>3,94397</t>
  </si>
  <si>
    <t>4,99294</t>
  </si>
  <si>
    <t>68,98794</t>
  </si>
  <si>
    <t>328,50326</t>
  </si>
  <si>
    <t>7.698,14933</t>
  </si>
  <si>
    <t>4,27099</t>
  </si>
  <si>
    <t>5,09347</t>
  </si>
  <si>
    <t>94,35628</t>
  </si>
  <si>
    <t>1.704,39063</t>
  </si>
  <si>
    <t>4,39918</t>
  </si>
  <si>
    <t>9,55240</t>
  </si>
  <si>
    <t>17,06667</t>
  </si>
  <si>
    <t>705,57276</t>
  </si>
  <si>
    <t>1,50803</t>
  </si>
  <si>
    <t>0,88007</t>
  </si>
  <si>
    <t>24.597,53988</t>
  </si>
  <si>
    <t>670,38230</t>
  </si>
  <si>
    <t>44,72296</t>
  </si>
  <si>
    <t>24.279,03977</t>
  </si>
  <si>
    <t>10,26120</t>
  </si>
  <si>
    <t>12.970,26252</t>
  </si>
  <si>
    <t>19,35903</t>
  </si>
  <si>
    <t>36,93867</t>
  </si>
  <si>
    <t>10,82963</t>
  </si>
  <si>
    <t>4,10555</t>
  </si>
  <si>
    <t>3,37129</t>
  </si>
  <si>
    <t>2,82434</t>
  </si>
  <si>
    <t>50,48363</t>
  </si>
  <si>
    <t>7,97226</t>
  </si>
  <si>
    <t>36,80182</t>
  </si>
  <si>
    <t>2.897,34715</t>
  </si>
  <si>
    <t>49,64861</t>
  </si>
  <si>
    <t>4.248,73817</t>
  </si>
  <si>
    <t>45,79874</t>
  </si>
  <si>
    <t>14.111,36943</t>
  </si>
  <si>
    <t>30.850,29142</t>
  </si>
  <si>
    <t>142,15117</t>
  </si>
  <si>
    <t>3,25570</t>
  </si>
  <si>
    <t>656,22546</t>
  </si>
  <si>
    <t>0,01614</t>
  </si>
  <si>
    <t>0,00027</t>
  </si>
  <si>
    <t>3,17013</t>
  </si>
  <si>
    <t>0,81366</t>
  </si>
  <si>
    <t>653,36968</t>
  </si>
  <si>
    <t>119,94120</t>
  </si>
  <si>
    <t>279,65096</t>
  </si>
  <si>
    <t>19,34272</t>
  </si>
  <si>
    <t>10.558,54577</t>
  </si>
  <si>
    <t>25,88659</t>
  </si>
  <si>
    <t>377,71031</t>
  </si>
  <si>
    <t>Fees valid after 01.01.2026</t>
  </si>
  <si>
    <t>List of fees 2021</t>
  </si>
  <si>
    <t>fixed fees, if any</t>
  </si>
  <si>
    <t>Fees applicable from 01/01/2026</t>
  </si>
  <si>
    <t>Decree 1344/2025: 1 January 2026 to 31 December 2026</t>
  </si>
  <si>
    <t>effective of 02.01.2026</t>
  </si>
  <si>
    <t>incl. 460 € RMS supplement</t>
  </si>
  <si>
    <t>incl. 335 € RMS supplement</t>
  </si>
  <si>
    <t>standard (incl. 490 € RMS supplement)</t>
  </si>
  <si>
    <t>complex (incl. 705 € RMS supplement)</t>
  </si>
  <si>
    <t>Elenco Tariffe aggiornato ad Luglio 2025</t>
  </si>
  <si>
    <t>V5 – September 2025</t>
  </si>
  <si>
    <t>Ref No: GL-LI06-12, November 2025</t>
  </si>
  <si>
    <t>Indication</t>
  </si>
  <si>
    <t>fees were applicable from January to December 2026</t>
  </si>
  <si>
    <t>to update DK &amp; NO fees</t>
  </si>
  <si>
    <t>applicable from 01.01.2026</t>
  </si>
  <si>
    <t>to update BG fees</t>
  </si>
  <si>
    <t>to update fees; BG has joined the Euro (the Euro values have not yet been published and are therefore estimated)</t>
  </si>
  <si>
    <t>20. January 2026</t>
  </si>
  <si>
    <t>released on December 4, 2025</t>
  </si>
  <si>
    <t>to update CZ fees &amp; to update national exchange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</si>
</sst>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44" formatCode="_-* #,##0.00\ &quot;€&quot;_-;\-* #,##0.00\ &quot;€&quot;_-;_-* &quot;-&quot;??\ &quot;€&quot;_-;_-@_-"/>
    <numFmt numFmtId="164" formatCode="#,##0.00\ &quot;€&quot;"/>
    <numFmt numFmtId="165" formatCode="#,##0.00\ [$CZK]"/>
    <numFmt numFmtId="166" formatCode="#,##0.00\ [$DKK]"/>
    <numFmt numFmtId="167" formatCode="#,##0.00\ [$HRK]"/>
    <numFmt numFmtId="168" formatCode="#,##0.00\ [$HUF]"/>
    <numFmt numFmtId="169" formatCode="#,##0.00\ [$SEK]"/>
    <numFmt numFmtId="170" formatCode="#,##0.00\ [$GBP]"/>
    <numFmt numFmtId="171" formatCode="#,##0.00\ [$ISK]"/>
    <numFmt numFmtId="172" formatCode="#,##0.00\ [$NOK]"/>
    <numFmt numFmtId="173" formatCode="#,##0.00\ [$PLN]"/>
    <numFmt numFmtId="174" formatCode="#,##0.00\ [$RSD]"/>
    <numFmt numFmtId="175" formatCode="0;\-0;;@"/>
    <numFmt numFmtId="176" formatCode="#,##0.00\ [$CHF]"/>
    <numFmt numFmtId="177" formatCode="#,##0.00\ &quot;€&quot;;\(#,##0.00\ &quot;€&quot;\);"/>
    <numFmt numFmtId="178" formatCode="#,##0.0"/>
    <numFmt numFmtId="179" formatCode="#,##0\ _€"/>
  </numFmts>
  <fonts count="33"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8"/>
      <name val="Calibri"/>
      <family val="2"/>
      <scheme val="minor"/>
    </font>
    <font>
      <sz val="11"/>
      <color theme="1"/>
      <name val="Calibri"/>
      <family val="2"/>
      <scheme val="minor"/>
    </font>
    <font>
      <sz val="11"/>
      <color theme="1"/>
      <name val="Calibri"/>
      <family val="2"/>
      <scheme val="minor"/>
    </font>
    <font>
      <b/>
      <sz val="13"/>
      <color theme="0"/>
      <name val="Calibri"/>
      <family val="2"/>
      <scheme val="minor"/>
    </font>
    <font>
      <b/>
      <sz val="12"/>
      <color theme="0"/>
      <name val="Calibri"/>
      <family val="2"/>
      <scheme val="minor"/>
    </font>
    <font>
      <b/>
      <sz val="18"/>
      <color theme="9" tint="-0.499984740745262"/>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6"/>
      <color theme="0"/>
      <name val="Calibri"/>
      <family val="2"/>
      <scheme val="minor"/>
    </font>
    <font>
      <b/>
      <sz val="11"/>
      <color rgb="FFC00000"/>
      <name val="Calibri"/>
      <family val="2"/>
      <scheme val="minor"/>
    </font>
    <font>
      <b/>
      <sz val="14"/>
      <color theme="0"/>
      <name val="Calibri"/>
      <family val="2"/>
      <scheme val="minor"/>
    </font>
    <font>
      <b/>
      <sz val="12"/>
      <color rgb="FFC00000"/>
      <name val="Calibri"/>
      <family val="2"/>
      <scheme val="minor"/>
    </font>
    <font>
      <sz val="11"/>
      <color theme="9" tint="-0.499984740745262"/>
      <name val="Calibri"/>
      <family val="2"/>
      <scheme val="minor"/>
    </font>
    <font>
      <i/>
      <sz val="11"/>
      <color theme="9" tint="-0.499984740745262"/>
      <name val="Calibri"/>
      <family val="2"/>
      <scheme val="minor"/>
    </font>
    <font>
      <b/>
      <sz val="11"/>
      <name val="Calibri"/>
      <family val="2"/>
      <scheme val="minor"/>
    </font>
    <font>
      <b/>
      <sz val="11"/>
      <color theme="1"/>
      <name val="Calibri"/>
      <family val="2"/>
      <scheme val="minor"/>
    </font>
    <font>
      <sz val="11"/>
      <name val="Calibri"/>
      <family val="2"/>
      <scheme val="minor"/>
    </font>
    <font>
      <sz val="13"/>
      <color theme="0"/>
      <name val="Calibri"/>
      <family val="2"/>
      <scheme val="minor"/>
    </font>
    <font>
      <sz val="14"/>
      <color theme="1"/>
      <name val="Calibri"/>
      <family val="2"/>
      <scheme val="minor"/>
    </font>
    <font>
      <b/>
      <sz val="13"/>
      <color theme="9" tint="-0.499984740745262"/>
      <name val="Calibri"/>
      <family val="2"/>
      <scheme val="minor"/>
    </font>
    <font>
      <sz val="11"/>
      <name val="Calibri"/>
      <family val="2"/>
      <scheme val="minor"/>
    </font>
    <font>
      <b/>
      <sz val="11"/>
      <name val="Calibri"/>
      <family val="2"/>
      <scheme val="minor"/>
    </font>
    <font>
      <b/>
      <sz val="18"/>
      <color theme="0"/>
      <name val="Calibri"/>
      <family val="2"/>
      <scheme val="minor"/>
    </font>
    <font>
      <b/>
      <sz val="18"/>
      <color rgb="FFC00000"/>
      <name val="Calibri"/>
      <family val="2"/>
      <scheme val="minor"/>
    </font>
    <font>
      <b/>
      <sz val="16"/>
      <color rgb="FFC00000"/>
      <name val="Calibri"/>
      <family val="2"/>
      <scheme val="minor"/>
    </font>
    <font>
      <sz val="12"/>
      <color theme="1"/>
      <name val="Calibri"/>
      <family val="2"/>
      <scheme val="minor"/>
    </font>
    <font>
      <sz val="12"/>
      <name val="Calibri"/>
      <family val="2"/>
      <scheme val="minor"/>
    </font>
    <font>
      <b/>
      <sz val="11"/>
      <color theme="9"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theme="5" tint="-0.249977111117893"/>
        <bgColor indexed="64"/>
      </patternFill>
    </fill>
  </fills>
  <borders count="46">
    <border>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9"/>
      </bottom>
      <diagonal/>
    </border>
    <border>
      <left style="thin">
        <color theme="0"/>
      </left>
      <right style="thin">
        <color theme="0"/>
      </right>
      <top/>
      <bottom style="thin">
        <color theme="9"/>
      </bottom>
      <diagonal/>
    </border>
    <border>
      <left style="thin">
        <color theme="9"/>
      </left>
      <right style="thin">
        <color theme="9"/>
      </right>
      <top style="thin">
        <color theme="9"/>
      </top>
      <bottom style="thin">
        <color theme="9"/>
      </bottom>
      <diagonal/>
    </border>
    <border>
      <left style="thin">
        <color theme="0"/>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style="thin">
        <color theme="0"/>
      </left>
      <right style="thin">
        <color theme="0"/>
      </right>
      <top/>
      <bottom style="thin">
        <color theme="0"/>
      </bottom>
      <diagonal/>
    </border>
    <border>
      <left style="thin">
        <color theme="0"/>
      </left>
      <right style="thin">
        <color theme="9"/>
      </right>
      <top/>
      <bottom style="thin">
        <color theme="0"/>
      </bottom>
      <diagonal/>
    </border>
    <border>
      <left style="thin">
        <color theme="0"/>
      </left>
      <right style="thin">
        <color theme="9"/>
      </right>
      <top style="thin">
        <color theme="0"/>
      </top>
      <bottom/>
      <diagonal/>
    </border>
    <border>
      <left/>
      <right style="thin">
        <color theme="0"/>
      </right>
      <top style="thin">
        <color theme="0"/>
      </top>
      <bottom style="thin">
        <color theme="9"/>
      </bottom>
      <diagonal/>
    </border>
    <border>
      <left style="thin">
        <color theme="0"/>
      </left>
      <right style="thin">
        <color theme="0"/>
      </right>
      <top style="thin">
        <color theme="0"/>
      </top>
      <bottom style="thin">
        <color theme="0"/>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top style="thin">
        <color theme="0"/>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24994659260841701"/>
      </right>
      <top style="thin">
        <color theme="9" tint="0.39994506668294322"/>
      </top>
      <bottom style="thin">
        <color theme="9" tint="0.39994506668294322"/>
      </bottom>
      <diagonal/>
    </border>
    <border>
      <left style="thin">
        <color theme="9" tint="-0.24994659260841701"/>
      </left>
      <right style="thin">
        <color theme="9" tint="0.39994506668294322"/>
      </right>
      <top style="thin">
        <color theme="9" tint="0.39994506668294322"/>
      </top>
      <bottom style="thin">
        <color theme="9" tint="0.39994506668294322"/>
      </bottom>
      <diagonal/>
    </border>
    <border>
      <left style="thin">
        <color theme="5" tint="-0.24994659260841701"/>
      </left>
      <right style="thin">
        <color theme="5" tint="-0.24994659260841701"/>
      </right>
      <top style="thin">
        <color theme="0"/>
      </top>
      <bottom style="thin">
        <color theme="0"/>
      </bottom>
      <diagonal/>
    </border>
    <border>
      <left style="thin">
        <color theme="9" tint="-0.24994659260841701"/>
      </left>
      <right style="thin">
        <color theme="9" tint="0.39994506668294322"/>
      </right>
      <top/>
      <bottom style="thin">
        <color theme="9" tint="0.39994506668294322"/>
      </bottom>
      <diagonal/>
    </border>
    <border>
      <left style="thin">
        <color theme="9" tint="0.39994506668294322"/>
      </left>
      <right style="thin">
        <color theme="9" tint="-0.24994659260841701"/>
      </right>
      <top/>
      <bottom style="thin">
        <color theme="9" tint="0.39994506668294322"/>
      </bottom>
      <diagonal/>
    </border>
    <border>
      <left style="thin">
        <color theme="0"/>
      </left>
      <right style="thin">
        <color theme="9"/>
      </right>
      <top style="thin">
        <color theme="0"/>
      </top>
      <bottom style="thin">
        <color theme="0"/>
      </bottom>
      <diagonal/>
    </border>
    <border>
      <left/>
      <right/>
      <top style="thin">
        <color theme="5" tint="-0.24994659260841701"/>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4">
    <xf numFmtId="0" fontId="0" fillId="0" borderId="0"/>
    <xf numFmtId="0" fontId="2" fillId="0" borderId="0" applyNumberFormat="0" applyFill="0" applyBorder="0" applyAlignment="0" applyProtection="0"/>
    <xf numFmtId="44" fontId="5" fillId="0" borderId="0" applyFont="0" applyFill="0" applyBorder="0" applyAlignment="0" applyProtection="0"/>
    <xf numFmtId="0" fontId="30" fillId="0" borderId="0"/>
  </cellStyleXfs>
  <cellXfs count="224">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xf numFmtId="49" fontId="0" fillId="2"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9"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8" fillId="2" borderId="0" xfId="0" applyFont="1" applyFill="1" applyAlignment="1">
      <alignment vertical="center" wrapText="1"/>
    </xf>
    <xf numFmtId="0" fontId="3" fillId="2" borderId="0" xfId="0" applyFont="1" applyFill="1" applyAlignment="1">
      <alignment vertical="top"/>
    </xf>
    <xf numFmtId="0" fontId="0" fillId="2" borderId="0" xfId="0" applyFill="1" applyAlignment="1">
      <alignment vertical="top"/>
    </xf>
    <xf numFmtId="49" fontId="0" fillId="2" borderId="0" xfId="0" applyNumberFormat="1" applyFill="1" applyAlignment="1">
      <alignment vertical="top"/>
    </xf>
    <xf numFmtId="164" fontId="0" fillId="2" borderId="0" xfId="0" applyNumberFormat="1" applyFill="1" applyAlignment="1">
      <alignment vertical="top"/>
    </xf>
    <xf numFmtId="0" fontId="1" fillId="2" borderId="0" xfId="0" applyFont="1" applyFill="1" applyAlignment="1">
      <alignment vertical="top" wrapText="1"/>
    </xf>
    <xf numFmtId="174" fontId="0" fillId="2" borderId="0" xfId="0" applyNumberFormat="1" applyFill="1" applyAlignment="1">
      <alignment vertical="top"/>
    </xf>
    <xf numFmtId="49" fontId="0" fillId="2" borderId="0" xfId="0" applyNumberFormat="1" applyFill="1" applyAlignment="1">
      <alignment horizontal="left" vertical="top"/>
    </xf>
    <xf numFmtId="0" fontId="1" fillId="0" borderId="22" xfId="0" applyFont="1" applyBorder="1" applyAlignment="1">
      <alignment vertical="top" wrapText="1"/>
    </xf>
    <xf numFmtId="0" fontId="1" fillId="0" borderId="24" xfId="0" applyFont="1" applyBorder="1" applyAlignment="1">
      <alignment vertical="top" wrapText="1"/>
    </xf>
    <xf numFmtId="0" fontId="0" fillId="0" borderId="25" xfId="0" applyBorder="1" applyAlignment="1">
      <alignment vertical="top" wrapText="1"/>
    </xf>
    <xf numFmtId="0" fontId="1" fillId="0" borderId="24" xfId="0" applyFont="1" applyBorder="1" applyAlignment="1">
      <alignment vertical="top"/>
    </xf>
    <xf numFmtId="0" fontId="1" fillId="0" borderId="15" xfId="0" applyFont="1" applyBorder="1" applyAlignment="1">
      <alignment vertical="top" wrapText="1"/>
    </xf>
    <xf numFmtId="0" fontId="0" fillId="0" borderId="16" xfId="0"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0" fillId="0" borderId="27"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28" xfId="0" applyBorder="1" applyAlignment="1">
      <alignmen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13" xfId="0" applyFont="1" applyBorder="1" applyAlignment="1">
      <alignment vertical="top" wrapText="1"/>
    </xf>
    <xf numFmtId="0" fontId="1" fillId="0" borderId="28" xfId="0" applyFont="1" applyBorder="1" applyAlignment="1">
      <alignment vertical="top" wrapText="1"/>
    </xf>
    <xf numFmtId="0" fontId="1" fillId="0" borderId="13" xfId="0" applyFont="1" applyBorder="1" applyAlignment="1">
      <alignment vertical="top"/>
    </xf>
    <xf numFmtId="0" fontId="6" fillId="0" borderId="13" xfId="0" applyFont="1" applyBorder="1" applyAlignment="1">
      <alignment vertical="top" wrapText="1"/>
    </xf>
    <xf numFmtId="0" fontId="0" fillId="0" borderId="13" xfId="0" applyBorder="1" applyAlignment="1">
      <alignment vertical="top"/>
    </xf>
    <xf numFmtId="0" fontId="0" fillId="0" borderId="11" xfId="0" applyBorder="1" applyAlignment="1">
      <alignment vertical="top"/>
    </xf>
    <xf numFmtId="0" fontId="0" fillId="0" borderId="14" xfId="0" applyBorder="1" applyAlignment="1">
      <alignment vertical="top" wrapText="1"/>
    </xf>
    <xf numFmtId="0" fontId="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29" xfId="0" applyFont="1" applyBorder="1" applyAlignment="1">
      <alignment horizontal="left" vertical="center"/>
    </xf>
    <xf numFmtId="0" fontId="0" fillId="0" borderId="29" xfId="0" applyBorder="1" applyAlignment="1">
      <alignment horizontal="left" vertical="center"/>
    </xf>
    <xf numFmtId="0" fontId="0" fillId="0" borderId="29" xfId="0" applyBorder="1" applyAlignment="1">
      <alignment vertical="center"/>
    </xf>
    <xf numFmtId="164" fontId="21" fillId="0" borderId="29" xfId="0" applyNumberFormat="1" applyFont="1" applyBorder="1" applyAlignment="1" applyProtection="1">
      <alignment vertical="center"/>
      <protection hidden="1"/>
    </xf>
    <xf numFmtId="175" fontId="0" fillId="0" borderId="29" xfId="0" applyNumberFormat="1" applyBorder="1" applyAlignment="1" applyProtection="1">
      <alignment horizontal="center" vertical="center"/>
      <protection hidden="1"/>
    </xf>
    <xf numFmtId="0" fontId="0" fillId="0" borderId="29" xfId="0" applyBorder="1"/>
    <xf numFmtId="0" fontId="0" fillId="0" borderId="29" xfId="0" applyBorder="1" applyAlignment="1">
      <alignment vertical="top"/>
    </xf>
    <xf numFmtId="49" fontId="0" fillId="0" borderId="29" xfId="0" applyNumberFormat="1" applyBorder="1" applyAlignment="1">
      <alignment vertical="top"/>
    </xf>
    <xf numFmtId="49" fontId="0" fillId="0" borderId="29" xfId="0" applyNumberFormat="1" applyBorder="1" applyAlignment="1">
      <alignment vertical="center"/>
    </xf>
    <xf numFmtId="0" fontId="2" fillId="0" borderId="29" xfId="1" applyFill="1" applyBorder="1"/>
    <xf numFmtId="49" fontId="2" fillId="0" borderId="29" xfId="1" applyNumberFormat="1" applyFill="1" applyBorder="1" applyAlignment="1">
      <alignment vertical="center"/>
    </xf>
    <xf numFmtId="0" fontId="2" fillId="0" borderId="29" xfId="1" applyFill="1" applyBorder="1" applyAlignment="1">
      <alignment vertical="center"/>
    </xf>
    <xf numFmtId="0" fontId="2" fillId="0" borderId="29" xfId="1" applyFill="1" applyBorder="1" applyAlignment="1">
      <alignment vertical="top"/>
    </xf>
    <xf numFmtId="174" fontId="2" fillId="0" borderId="29" xfId="1" applyNumberFormat="1" applyFill="1" applyBorder="1" applyAlignment="1">
      <alignment vertical="top"/>
    </xf>
    <xf numFmtId="49" fontId="2" fillId="0" borderId="29" xfId="1" applyNumberFormat="1" applyFill="1" applyBorder="1" applyAlignment="1">
      <alignment vertical="top"/>
    </xf>
    <xf numFmtId="49" fontId="0" fillId="2" borderId="0" xfId="0" applyNumberFormat="1" applyFill="1" applyAlignment="1">
      <alignment horizontal="left"/>
    </xf>
    <xf numFmtId="164" fontId="21" fillId="0" borderId="34" xfId="0" applyNumberFormat="1" applyFont="1" applyBorder="1" applyAlignment="1" applyProtection="1">
      <alignment vertical="center"/>
      <protection hidden="1"/>
    </xf>
    <xf numFmtId="175" fontId="0" fillId="0" borderId="33" xfId="0" applyNumberFormat="1" applyBorder="1" applyAlignment="1" applyProtection="1">
      <alignment horizontal="center" vertical="center"/>
      <protection hidden="1"/>
    </xf>
    <xf numFmtId="175" fontId="0" fillId="0" borderId="35" xfId="0" applyNumberFormat="1" applyBorder="1" applyAlignment="1" applyProtection="1">
      <alignment horizontal="center" vertical="center"/>
      <protection hidden="1"/>
    </xf>
    <xf numFmtId="164" fontId="3" fillId="0" borderId="36" xfId="0" applyNumberFormat="1" applyFont="1" applyBorder="1" applyAlignment="1" applyProtection="1">
      <alignment horizontal="right" vertical="center" indent="1"/>
      <protection hidden="1"/>
    </xf>
    <xf numFmtId="164" fontId="21" fillId="0" borderId="35" xfId="0" applyNumberFormat="1" applyFont="1" applyBorder="1" applyAlignment="1" applyProtection="1">
      <alignment vertical="center"/>
      <protection hidden="1"/>
    </xf>
    <xf numFmtId="164" fontId="21" fillId="0" borderId="36" xfId="0" applyNumberFormat="1" applyFont="1" applyBorder="1" applyAlignment="1" applyProtection="1">
      <alignment vertical="center"/>
      <protection hidden="1"/>
    </xf>
    <xf numFmtId="49" fontId="0" fillId="0" borderId="35" xfId="0" applyNumberFormat="1" applyBorder="1" applyAlignment="1" applyProtection="1">
      <alignment vertical="center"/>
      <protection hidden="1"/>
    </xf>
    <xf numFmtId="177" fontId="0" fillId="0" borderId="36" xfId="0" applyNumberFormat="1" applyBorder="1" applyAlignment="1" applyProtection="1">
      <alignment horizontal="right" vertical="center"/>
      <protection hidden="1"/>
    </xf>
    <xf numFmtId="177" fontId="21" fillId="0" borderId="36" xfId="0" applyNumberFormat="1" applyFont="1" applyBorder="1" applyAlignment="1" applyProtection="1">
      <alignment horizontal="right" vertical="top"/>
      <protection hidden="1"/>
    </xf>
    <xf numFmtId="177" fontId="21" fillId="0" borderId="29" xfId="0" applyNumberFormat="1" applyFont="1" applyBorder="1" applyAlignment="1" applyProtection="1">
      <alignment horizontal="right" vertical="top"/>
      <protection hidden="1"/>
    </xf>
    <xf numFmtId="177" fontId="21" fillId="0" borderId="35" xfId="0" applyNumberFormat="1" applyFont="1" applyBorder="1" applyAlignment="1" applyProtection="1">
      <alignment horizontal="right" vertical="top"/>
      <protection hidden="1"/>
    </xf>
    <xf numFmtId="177" fontId="0" fillId="0" borderId="29" xfId="0" applyNumberFormat="1" applyBorder="1" applyAlignment="1" applyProtection="1">
      <alignment horizontal="right" vertical="center"/>
      <protection hidden="1"/>
    </xf>
    <xf numFmtId="177" fontId="0" fillId="0" borderId="35" xfId="0" applyNumberFormat="1" applyBorder="1" applyAlignment="1" applyProtection="1">
      <alignment horizontal="right" vertical="center"/>
      <protection hidden="1"/>
    </xf>
    <xf numFmtId="177" fontId="0" fillId="0" borderId="29" xfId="0" applyNumberFormat="1" applyBorder="1" applyAlignment="1" applyProtection="1">
      <alignment horizontal="center" vertical="center"/>
      <protection hidden="1"/>
    </xf>
    <xf numFmtId="177" fontId="0" fillId="0" borderId="35" xfId="0" applyNumberFormat="1" applyBorder="1" applyAlignment="1" applyProtection="1">
      <alignment horizontal="center" vertical="center"/>
      <protection hidden="1"/>
    </xf>
    <xf numFmtId="177" fontId="0" fillId="0" borderId="36" xfId="0" applyNumberFormat="1" applyBorder="1" applyAlignment="1" applyProtection="1">
      <alignment horizontal="center" vertical="center"/>
      <protection hidden="1"/>
    </xf>
    <xf numFmtId="0" fontId="23" fillId="4" borderId="5" xfId="0" applyFont="1" applyFill="1" applyBorder="1" applyAlignment="1">
      <alignment horizontal="centerContinuous" vertical="center"/>
    </xf>
    <xf numFmtId="0" fontId="15" fillId="4" borderId="5" xfId="0" applyFont="1" applyFill="1" applyBorder="1" applyAlignment="1">
      <alignment horizontal="centerContinuous" vertical="center"/>
    </xf>
    <xf numFmtId="0" fontId="15" fillId="4" borderId="4" xfId="0" applyFont="1" applyFill="1" applyBorder="1" applyAlignment="1">
      <alignment horizontal="centerContinuous" vertical="center"/>
    </xf>
    <xf numFmtId="0" fontId="15" fillId="4" borderId="3" xfId="0" applyFont="1" applyFill="1" applyBorder="1" applyAlignment="1">
      <alignment horizontal="centerContinuous" vertical="center"/>
    </xf>
    <xf numFmtId="0" fontId="15" fillId="4" borderId="17" xfId="0" applyFont="1" applyFill="1" applyBorder="1" applyAlignment="1">
      <alignment horizontal="centerContinuous" vertical="center"/>
    </xf>
    <xf numFmtId="49" fontId="8" fillId="3" borderId="9"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0" fontId="12" fillId="4" borderId="8" xfId="0" applyFont="1" applyFill="1" applyBorder="1" applyAlignment="1">
      <alignment horizontal="left" vertical="center"/>
    </xf>
    <xf numFmtId="0" fontId="0" fillId="4" borderId="7" xfId="0" applyFill="1" applyBorder="1" applyAlignment="1">
      <alignment vertical="top"/>
    </xf>
    <xf numFmtId="0" fontId="12" fillId="4" borderId="21" xfId="0" applyFont="1" applyFill="1" applyBorder="1" applyAlignment="1">
      <alignment horizontal="left" vertical="center"/>
    </xf>
    <xf numFmtId="0" fontId="13" fillId="4" borderId="21" xfId="0" applyFont="1" applyFill="1" applyBorder="1" applyAlignment="1">
      <alignment horizontal="left" vertical="center" wrapText="1"/>
    </xf>
    <xf numFmtId="0" fontId="0" fillId="4" borderId="21" xfId="0" applyFill="1" applyBorder="1" applyAlignment="1">
      <alignment vertical="top" wrapText="1"/>
    </xf>
    <xf numFmtId="0" fontId="12" fillId="4" borderId="0" xfId="0" applyFont="1" applyFill="1" applyAlignment="1">
      <alignment horizontal="left" vertical="center"/>
    </xf>
    <xf numFmtId="0" fontId="13" fillId="4" borderId="0" xfId="0" applyFont="1" applyFill="1" applyAlignment="1">
      <alignment horizontal="left" vertical="center" wrapText="1"/>
    </xf>
    <xf numFmtId="0" fontId="12" fillId="4" borderId="0" xfId="0" applyFont="1" applyFill="1" applyAlignment="1">
      <alignment vertical="center"/>
    </xf>
    <xf numFmtId="0" fontId="0" fillId="4" borderId="0" xfId="0" applyFill="1" applyAlignment="1">
      <alignment vertical="top" wrapText="1"/>
    </xf>
    <xf numFmtId="0" fontId="11" fillId="4" borderId="0" xfId="0" applyFont="1" applyFill="1" applyAlignment="1">
      <alignment vertical="top" wrapText="1"/>
    </xf>
    <xf numFmtId="14" fontId="0" fillId="0" borderId="0" xfId="0" applyNumberFormat="1" applyAlignment="1">
      <alignment vertical="top" wrapText="1"/>
    </xf>
    <xf numFmtId="49" fontId="0" fillId="0" borderId="35" xfId="0" applyNumberFormat="1" applyBorder="1" applyAlignment="1">
      <alignment vertical="center"/>
    </xf>
    <xf numFmtId="164" fontId="1" fillId="0" borderId="29" xfId="0" applyNumberFormat="1" applyFont="1" applyBorder="1" applyAlignment="1">
      <alignment horizontal="left" vertical="center"/>
    </xf>
    <xf numFmtId="164" fontId="0" fillId="0" borderId="29" xfId="0" applyNumberFormat="1" applyBorder="1" applyAlignment="1">
      <alignment vertical="center"/>
    </xf>
    <xf numFmtId="174" fontId="0" fillId="0" borderId="29" xfId="0" applyNumberFormat="1" applyBorder="1" applyAlignment="1">
      <alignment vertical="top"/>
    </xf>
    <xf numFmtId="164" fontId="0" fillId="0" borderId="29" xfId="0" applyNumberFormat="1" applyBorder="1" applyAlignment="1">
      <alignment horizontal="left" vertical="center"/>
    </xf>
    <xf numFmtId="177" fontId="21" fillId="0" borderId="38" xfId="0" applyNumberFormat="1" applyFont="1" applyBorder="1" applyAlignment="1" applyProtection="1">
      <alignment horizontal="right" vertical="top"/>
      <protection hidden="1"/>
    </xf>
    <xf numFmtId="177" fontId="21" fillId="0" borderId="31" xfId="0" applyNumberFormat="1" applyFont="1" applyBorder="1" applyAlignment="1" applyProtection="1">
      <alignment horizontal="right" vertical="top"/>
      <protection hidden="1"/>
    </xf>
    <xf numFmtId="177" fontId="21" fillId="0" borderId="39" xfId="0" applyNumberFormat="1" applyFont="1" applyBorder="1" applyAlignment="1" applyProtection="1">
      <alignment horizontal="right" vertical="top"/>
      <protection hidden="1"/>
    </xf>
    <xf numFmtId="0" fontId="22" fillId="4" borderId="1" xfId="0" applyFont="1" applyFill="1" applyBorder="1" applyAlignment="1">
      <alignment horizontal="centerContinuous" vertical="center"/>
    </xf>
    <xf numFmtId="0" fontId="22" fillId="4" borderId="2" xfId="0" applyFont="1" applyFill="1" applyBorder="1" applyAlignment="1">
      <alignment horizontal="centerContinuous" vertical="center"/>
    </xf>
    <xf numFmtId="0" fontId="0" fillId="2" borderId="41" xfId="0" applyFill="1" applyBorder="1"/>
    <xf numFmtId="49" fontId="8" fillId="3" borderId="42" xfId="0" applyNumberFormat="1" applyFont="1" applyFill="1" applyBorder="1" applyAlignment="1">
      <alignment horizontal="center" vertical="top" wrapText="1"/>
    </xf>
    <xf numFmtId="0" fontId="1" fillId="0" borderId="31" xfId="0" applyFont="1" applyBorder="1" applyAlignment="1">
      <alignment horizontal="left" vertical="center"/>
    </xf>
    <xf numFmtId="0" fontId="0" fillId="0" borderId="31" xfId="0" applyBorder="1" applyAlignment="1">
      <alignment horizontal="left" vertical="center"/>
    </xf>
    <xf numFmtId="0" fontId="0" fillId="0" borderId="31" xfId="0" applyBorder="1" applyAlignment="1">
      <alignment vertical="center"/>
    </xf>
    <xf numFmtId="49" fontId="0" fillId="0" borderId="39" xfId="0" applyNumberFormat="1" applyBorder="1" applyAlignment="1" applyProtection="1">
      <alignment vertical="center"/>
      <protection hidden="1"/>
    </xf>
    <xf numFmtId="164" fontId="21" fillId="0" borderId="38" xfId="0" applyNumberFormat="1" applyFont="1" applyBorder="1" applyAlignment="1" applyProtection="1">
      <alignment vertical="center"/>
      <protection hidden="1"/>
    </xf>
    <xf numFmtId="164" fontId="21" fillId="0" borderId="39" xfId="0" applyNumberFormat="1" applyFont="1" applyBorder="1" applyAlignment="1" applyProtection="1">
      <alignment vertical="center"/>
      <protection hidden="1"/>
    </xf>
    <xf numFmtId="164" fontId="21" fillId="0" borderId="31" xfId="0" applyNumberFormat="1" applyFont="1" applyBorder="1" applyAlignment="1" applyProtection="1">
      <alignment vertical="center"/>
      <protection hidden="1"/>
    </xf>
    <xf numFmtId="164" fontId="21" fillId="0" borderId="32" xfId="0" applyNumberFormat="1" applyFont="1" applyBorder="1" applyAlignment="1" applyProtection="1">
      <alignment vertical="center"/>
      <protection hidden="1"/>
    </xf>
    <xf numFmtId="175" fontId="0" fillId="0" borderId="30" xfId="0" applyNumberFormat="1" applyBorder="1" applyAlignment="1" applyProtection="1">
      <alignment horizontal="center" vertical="center"/>
      <protection hidden="1"/>
    </xf>
    <xf numFmtId="175" fontId="0" fillId="0" borderId="31" xfId="0" applyNumberFormat="1" applyBorder="1" applyAlignment="1" applyProtection="1">
      <alignment horizontal="center" vertical="center"/>
      <protection hidden="1"/>
    </xf>
    <xf numFmtId="175" fontId="0" fillId="0" borderId="39" xfId="0" applyNumberFormat="1" applyBorder="1" applyAlignment="1" applyProtection="1">
      <alignment horizontal="center" vertical="center"/>
      <protection hidden="1"/>
    </xf>
    <xf numFmtId="164" fontId="3" fillId="0" borderId="38" xfId="0" applyNumberFormat="1" applyFont="1" applyBorder="1" applyAlignment="1" applyProtection="1">
      <alignment horizontal="right" vertical="center" indent="1"/>
      <protection hidden="1"/>
    </xf>
    <xf numFmtId="0" fontId="16" fillId="4" borderId="17" xfId="0" applyFont="1" applyFill="1" applyBorder="1" applyAlignment="1">
      <alignment horizontal="center" vertical="center"/>
    </xf>
    <xf numFmtId="14" fontId="15" fillId="4" borderId="43" xfId="0" applyNumberFormat="1" applyFont="1" applyFill="1" applyBorder="1" applyAlignment="1">
      <alignment vertical="center"/>
    </xf>
    <xf numFmtId="164" fontId="25" fillId="0" borderId="29" xfId="0" applyNumberFormat="1" applyFont="1" applyBorder="1" applyAlignment="1" applyProtection="1">
      <alignment vertical="center"/>
      <protection hidden="1"/>
    </xf>
    <xf numFmtId="177" fontId="21" fillId="0" borderId="36" xfId="0" applyNumberFormat="1" applyFont="1" applyBorder="1" applyAlignment="1" applyProtection="1">
      <alignment horizontal="center" vertical="center"/>
      <protection hidden="1"/>
    </xf>
    <xf numFmtId="177" fontId="21" fillId="0" borderId="29" xfId="0" applyNumberFormat="1" applyFont="1" applyBorder="1" applyAlignment="1" applyProtection="1">
      <alignment horizontal="center" vertical="center"/>
      <protection hidden="1"/>
    </xf>
    <xf numFmtId="177" fontId="21" fillId="0" borderId="35" xfId="0" applyNumberFormat="1" applyFont="1" applyBorder="1" applyAlignment="1" applyProtection="1">
      <alignment horizontal="center" vertical="center"/>
      <protection hidden="1"/>
    </xf>
    <xf numFmtId="164" fontId="26" fillId="0" borderId="36" xfId="0" applyNumberFormat="1" applyFont="1" applyBorder="1" applyAlignment="1" applyProtection="1">
      <alignment horizontal="right" vertical="center" indent="1"/>
      <protection hidden="1"/>
    </xf>
    <xf numFmtId="0" fontId="0" fillId="0" borderId="24" xfId="0" applyBorder="1" applyAlignment="1">
      <alignment vertical="top" wrapText="1"/>
    </xf>
    <xf numFmtId="164" fontId="0" fillId="0" borderId="13" xfId="0" applyNumberFormat="1" applyBorder="1" applyAlignment="1">
      <alignment horizontal="right" vertical="top" wrapText="1"/>
    </xf>
    <xf numFmtId="6" fontId="0" fillId="0" borderId="27" xfId="0" applyNumberFormat="1" applyBorder="1" applyAlignment="1">
      <alignment horizontal="right" vertical="top" wrapText="1"/>
    </xf>
    <xf numFmtId="0" fontId="1" fillId="0" borderId="0" xfId="0" applyFont="1"/>
    <xf numFmtId="1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6" fontId="0" fillId="0" borderId="0" xfId="0" applyNumberFormat="1" applyAlignment="1" applyProtection="1">
      <alignment horizontal="left" vertical="top"/>
      <protection locked="0"/>
    </xf>
    <xf numFmtId="168" fontId="0" fillId="0" borderId="0" xfId="0" applyNumberFormat="1" applyAlignment="1" applyProtection="1">
      <alignment horizontal="left" vertical="top"/>
      <protection locked="0"/>
    </xf>
    <xf numFmtId="171" fontId="0" fillId="0" borderId="0" xfId="0" applyNumberFormat="1" applyAlignment="1" applyProtection="1">
      <alignment horizontal="left" vertical="top"/>
      <protection locked="0"/>
    </xf>
    <xf numFmtId="172" fontId="0" fillId="0" borderId="0" xfId="0" applyNumberFormat="1" applyAlignment="1" applyProtection="1">
      <alignment horizontal="left" vertical="top"/>
      <protection locked="0"/>
    </xf>
    <xf numFmtId="173" fontId="0" fillId="0" borderId="0" xfId="0" applyNumberFormat="1" applyAlignment="1" applyProtection="1">
      <alignment horizontal="left" vertical="top"/>
      <protection locked="0"/>
    </xf>
    <xf numFmtId="169" fontId="0" fillId="0" borderId="0" xfId="0" applyNumberFormat="1" applyAlignment="1" applyProtection="1">
      <alignment horizontal="left" vertical="top"/>
      <protection locked="0"/>
    </xf>
    <xf numFmtId="178" fontId="0" fillId="0" borderId="0" xfId="0" applyNumberFormat="1" applyAlignment="1" applyProtection="1">
      <alignment horizontal="left" vertical="top"/>
      <protection locked="0"/>
    </xf>
    <xf numFmtId="170" fontId="0" fillId="0" borderId="0" xfId="0" applyNumberFormat="1" applyAlignment="1" applyProtection="1">
      <alignment horizontal="left" vertical="top"/>
      <protection locked="0"/>
    </xf>
    <xf numFmtId="174" fontId="0" fillId="0" borderId="0" xfId="0" applyNumberFormat="1" applyAlignment="1" applyProtection="1">
      <alignment horizontal="left"/>
      <protection locked="0"/>
    </xf>
    <xf numFmtId="0" fontId="20" fillId="0" borderId="0" xfId="0" applyFont="1"/>
    <xf numFmtId="176" fontId="0" fillId="0" borderId="0" xfId="0" applyNumberFormat="1" applyAlignment="1" applyProtection="1">
      <alignment horizontal="left"/>
      <protection locked="0"/>
    </xf>
    <xf numFmtId="0" fontId="2" fillId="0" borderId="0" xfId="1" applyBorder="1"/>
    <xf numFmtId="164" fontId="15" fillId="7" borderId="0" xfId="0" applyNumberFormat="1" applyFont="1" applyFill="1" applyAlignment="1">
      <alignment horizontal="centerContinuous" vertical="center"/>
    </xf>
    <xf numFmtId="164" fontId="7" fillId="7" borderId="2" xfId="0" applyNumberFormat="1" applyFont="1" applyFill="1" applyBorder="1" applyAlignment="1">
      <alignment horizontal="centerContinuous" vertical="center"/>
    </xf>
    <xf numFmtId="164" fontId="15" fillId="7" borderId="1" xfId="0" applyNumberFormat="1" applyFont="1" applyFill="1" applyBorder="1" applyAlignment="1">
      <alignment horizontal="centerContinuous" vertical="center"/>
    </xf>
    <xf numFmtId="164" fontId="15" fillId="7" borderId="2" xfId="0" applyNumberFormat="1" applyFont="1" applyFill="1" applyBorder="1" applyAlignment="1">
      <alignment horizontal="centerContinuous" vertical="center"/>
    </xf>
    <xf numFmtId="164" fontId="15" fillId="7" borderId="6" xfId="0" applyNumberFormat="1" applyFont="1" applyFill="1" applyBorder="1" applyAlignment="1">
      <alignment horizontal="centerContinuous" vertical="center"/>
    </xf>
    <xf numFmtId="0" fontId="27" fillId="4" borderId="7" xfId="0" applyFont="1" applyFill="1" applyBorder="1" applyAlignment="1">
      <alignment horizontal="centerContinuous" vertical="center"/>
    </xf>
    <xf numFmtId="0" fontId="27" fillId="4" borderId="17" xfId="0" applyFont="1" applyFill="1" applyBorder="1" applyAlignment="1">
      <alignment horizontal="centerContinuous" vertical="center"/>
    </xf>
    <xf numFmtId="14" fontId="24" fillId="0" borderId="43" xfId="0" applyNumberFormat="1" applyFont="1" applyBorder="1" applyAlignment="1">
      <alignment horizontal="center"/>
    </xf>
    <xf numFmtId="0" fontId="12" fillId="4" borderId="6" xfId="0" applyFont="1" applyFill="1" applyBorder="1" applyAlignment="1">
      <alignment horizontal="centerContinuous" vertical="center"/>
    </xf>
    <xf numFmtId="0" fontId="12" fillId="4" borderId="6" xfId="0" applyFont="1" applyFill="1" applyBorder="1" applyAlignment="1">
      <alignment horizontal="center" vertical="center"/>
    </xf>
    <xf numFmtId="0" fontId="12" fillId="4" borderId="21" xfId="0" applyFont="1" applyFill="1" applyBorder="1" applyAlignment="1" applyProtection="1">
      <alignment horizontal="center" vertical="center"/>
      <protection hidden="1"/>
    </xf>
    <xf numFmtId="0" fontId="2" fillId="0" borderId="0" xfId="1" applyFill="1" applyBorder="1" applyAlignment="1" applyProtection="1">
      <alignment vertical="top" wrapText="1"/>
      <protection locked="0"/>
    </xf>
    <xf numFmtId="0" fontId="0" fillId="0" borderId="0" xfId="0" applyAlignment="1" applyProtection="1">
      <alignment vertical="top" wrapText="1"/>
      <protection locked="0"/>
    </xf>
    <xf numFmtId="14" fontId="0" fillId="0" borderId="0" xfId="0" applyNumberFormat="1" applyAlignment="1">
      <alignment horizontal="left" vertical="top" wrapText="1"/>
    </xf>
    <xf numFmtId="0" fontId="0" fillId="0" borderId="0" xfId="0" applyProtection="1">
      <protection locked="0"/>
    </xf>
    <xf numFmtId="14" fontId="0" fillId="0" borderId="0" xfId="0" applyNumberFormat="1" applyAlignment="1" applyProtection="1">
      <alignment vertical="top" wrapText="1"/>
      <protection locked="0"/>
    </xf>
    <xf numFmtId="0" fontId="2" fillId="0" borderId="0" xfId="1" applyFill="1" applyBorder="1"/>
    <xf numFmtId="0" fontId="2" fillId="0" borderId="0" xfId="1" applyBorder="1" applyAlignment="1">
      <alignment vertical="top"/>
    </xf>
    <xf numFmtId="0" fontId="10" fillId="8" borderId="43" xfId="0" applyFont="1" applyFill="1" applyBorder="1" applyAlignment="1">
      <alignment horizontal="left" vertical="top" wrapText="1"/>
    </xf>
    <xf numFmtId="14" fontId="10" fillId="8" borderId="43" xfId="0" applyNumberFormat="1" applyFont="1" applyFill="1" applyBorder="1" applyAlignment="1">
      <alignment horizontal="left" vertical="top" wrapText="1"/>
    </xf>
    <xf numFmtId="0" fontId="8" fillId="6" borderId="44" xfId="0" applyFont="1" applyFill="1" applyBorder="1" applyAlignment="1">
      <alignment horizontal="center" vertical="top" wrapText="1"/>
    </xf>
    <xf numFmtId="0" fontId="8" fillId="6" borderId="43" xfId="0" applyFont="1" applyFill="1" applyBorder="1" applyAlignment="1">
      <alignment horizontal="center" vertical="top" wrapText="1"/>
    </xf>
    <xf numFmtId="49" fontId="8" fillId="6" borderId="43" xfId="0" applyNumberFormat="1" applyFont="1" applyFill="1" applyBorder="1" applyAlignment="1">
      <alignment horizontal="center" vertical="top" wrapText="1"/>
    </xf>
    <xf numFmtId="164" fontId="8" fillId="6" borderId="43" xfId="0" applyNumberFormat="1" applyFont="1" applyFill="1" applyBorder="1" applyAlignment="1">
      <alignment horizontal="center" vertical="top" wrapText="1"/>
    </xf>
    <xf numFmtId="164" fontId="8" fillId="6" borderId="45" xfId="0" applyNumberFormat="1" applyFont="1" applyFill="1" applyBorder="1" applyAlignment="1">
      <alignment horizontal="center" vertical="top" wrapText="1"/>
    </xf>
    <xf numFmtId="0" fontId="3" fillId="0" borderId="0" xfId="0" applyFont="1" applyAlignment="1">
      <alignment vertical="top"/>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4" fontId="0" fillId="0" borderId="0" xfId="0" applyNumberFormat="1" applyAlignment="1" applyProtection="1">
      <alignment vertical="top"/>
      <protection locked="0"/>
    </xf>
    <xf numFmtId="0" fontId="0" fillId="0" borderId="0" xfId="0" applyAlignment="1" applyProtection="1">
      <alignment vertical="center"/>
      <protection locked="0"/>
    </xf>
    <xf numFmtId="165" fontId="0" fillId="0" borderId="0" xfId="0" applyNumberFormat="1" applyAlignment="1" applyProtection="1">
      <alignment vertical="top"/>
      <protection locked="0"/>
    </xf>
    <xf numFmtId="174" fontId="0" fillId="0" borderId="0" xfId="0" applyNumberFormat="1" applyAlignment="1" applyProtection="1">
      <alignment vertical="top"/>
      <protection locked="0"/>
    </xf>
    <xf numFmtId="49"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49" fontId="2" fillId="0" borderId="0" xfId="1" applyNumberFormat="1" applyFill="1" applyBorder="1" applyAlignment="1" applyProtection="1">
      <alignment vertical="top"/>
      <protection locked="0"/>
    </xf>
    <xf numFmtId="0" fontId="0" fillId="0" borderId="0" xfId="0" applyAlignment="1">
      <alignment vertical="center"/>
    </xf>
    <xf numFmtId="164" fontId="0" fillId="0" borderId="0" xfId="0" applyNumberFormat="1" applyAlignment="1">
      <alignment vertical="center"/>
    </xf>
    <xf numFmtId="0" fontId="2" fillId="0" borderId="0" xfId="1" applyFill="1" applyBorder="1" applyAlignment="1" applyProtection="1">
      <alignment vertical="top"/>
      <protection locked="0"/>
    </xf>
    <xf numFmtId="49" fontId="21" fillId="0" borderId="0" xfId="1" applyNumberFormat="1" applyFont="1" applyFill="1" applyBorder="1" applyAlignment="1" applyProtection="1">
      <alignment horizontal="left" vertical="top"/>
      <protection locked="0"/>
    </xf>
    <xf numFmtId="167" fontId="0" fillId="0" borderId="0" xfId="0" applyNumberFormat="1" applyAlignment="1" applyProtection="1">
      <alignment vertical="top"/>
      <protection locked="0"/>
    </xf>
    <xf numFmtId="168" fontId="0" fillId="0" borderId="0" xfId="0" applyNumberFormat="1" applyAlignment="1" applyProtection="1">
      <alignment vertical="top"/>
      <protection locked="0"/>
    </xf>
    <xf numFmtId="49" fontId="0" fillId="0" borderId="0" xfId="0" applyNumberFormat="1" applyAlignment="1" applyProtection="1">
      <alignment horizontal="left"/>
      <protection locked="0"/>
    </xf>
    <xf numFmtId="174" fontId="2" fillId="0" borderId="0" xfId="1" applyNumberFormat="1" applyFill="1" applyBorder="1" applyAlignment="1" applyProtection="1">
      <alignment vertical="top"/>
      <protection locked="0"/>
    </xf>
    <xf numFmtId="171" fontId="0" fillId="0" borderId="0" xfId="0" applyNumberFormat="1" applyAlignment="1" applyProtection="1">
      <alignment vertical="top"/>
      <protection locked="0"/>
    </xf>
    <xf numFmtId="172" fontId="0" fillId="0" borderId="0" xfId="0" applyNumberFormat="1" applyAlignment="1" applyProtection="1">
      <alignment vertical="top"/>
      <protection locked="0"/>
    </xf>
    <xf numFmtId="173" fontId="0" fillId="0" borderId="0" xfId="0" applyNumberFormat="1" applyAlignment="1" applyProtection="1">
      <alignment vertical="top"/>
      <protection locked="0"/>
    </xf>
    <xf numFmtId="0" fontId="2" fillId="0" borderId="0" xfId="1" applyFill="1" applyBorder="1" applyProtection="1">
      <protection locked="0"/>
    </xf>
    <xf numFmtId="169" fontId="0" fillId="0" borderId="0" xfId="0" applyNumberFormat="1" applyAlignment="1" applyProtection="1">
      <alignment vertical="top"/>
      <protection locked="0"/>
    </xf>
    <xf numFmtId="3" fontId="0" fillId="0" borderId="0" xfId="0" applyNumberFormat="1" applyAlignment="1" applyProtection="1">
      <alignment vertical="top"/>
      <protection locked="0"/>
    </xf>
    <xf numFmtId="170" fontId="0" fillId="0" borderId="0" xfId="0" applyNumberFormat="1" applyAlignment="1" applyProtection="1">
      <alignment vertical="top"/>
      <protection locked="0"/>
    </xf>
    <xf numFmtId="174" fontId="3" fillId="0" borderId="0" xfId="0" applyNumberFormat="1" applyFont="1" applyAlignment="1">
      <alignment vertical="top"/>
    </xf>
    <xf numFmtId="174" fontId="0" fillId="0" borderId="0" xfId="0" applyNumberFormat="1" applyAlignment="1">
      <alignment vertical="top"/>
    </xf>
    <xf numFmtId="176" fontId="0" fillId="0" borderId="0" xfId="0" applyNumberFormat="1" applyAlignment="1" applyProtection="1">
      <alignment vertical="top"/>
      <protection locked="0"/>
    </xf>
    <xf numFmtId="174" fontId="19" fillId="0" borderId="0" xfId="0" applyNumberFormat="1" applyFont="1" applyAlignment="1">
      <alignment vertical="top"/>
    </xf>
    <xf numFmtId="14" fontId="10" fillId="5" borderId="44" xfId="0" applyNumberFormat="1" applyFont="1" applyFill="1" applyBorder="1" applyAlignment="1">
      <alignment horizontal="left" vertical="top" wrapText="1"/>
    </xf>
    <xf numFmtId="14" fontId="10" fillId="5" borderId="43" xfId="0" applyNumberFormat="1" applyFont="1" applyFill="1" applyBorder="1" applyAlignment="1">
      <alignment horizontal="left" vertical="top" wrapText="1"/>
    </xf>
    <xf numFmtId="14" fontId="10" fillId="5" borderId="45" xfId="0" applyNumberFormat="1" applyFont="1" applyFill="1" applyBorder="1" applyAlignment="1">
      <alignment horizontal="left" vertical="top" wrapText="1"/>
    </xf>
    <xf numFmtId="14" fontId="0" fillId="0" borderId="0" xfId="0" applyNumberFormat="1" applyAlignment="1">
      <alignment horizontal="left" vertical="center"/>
    </xf>
    <xf numFmtId="0" fontId="0" fillId="0" borderId="0" xfId="0" applyAlignment="1">
      <alignment horizontal="left" vertical="center"/>
    </xf>
    <xf numFmtId="0" fontId="11" fillId="0" borderId="44" xfId="0" applyFont="1" applyBorder="1" applyAlignment="1">
      <alignment horizontal="left" vertical="center"/>
    </xf>
    <xf numFmtId="0" fontId="10" fillId="0" borderId="45" xfId="0" applyFont="1" applyBorder="1" applyAlignment="1">
      <alignment horizontal="left" vertical="center"/>
    </xf>
    <xf numFmtId="0" fontId="21" fillId="0" borderId="0" xfId="0" applyFont="1"/>
    <xf numFmtId="0" fontId="2" fillId="0" borderId="0" xfId="1"/>
    <xf numFmtId="14" fontId="21" fillId="0" borderId="0" xfId="0" applyNumberFormat="1" applyFont="1" applyAlignment="1">
      <alignment horizontal="left" vertical="center"/>
    </xf>
    <xf numFmtId="0" fontId="21" fillId="0" borderId="0" xfId="0" applyFont="1" applyAlignment="1">
      <alignment horizontal="left" vertical="center"/>
    </xf>
    <xf numFmtId="0" fontId="31" fillId="0" borderId="0" xfId="3" applyFont="1"/>
    <xf numFmtId="4" fontId="31" fillId="0" borderId="0" xfId="3" applyNumberFormat="1" applyFont="1"/>
    <xf numFmtId="0" fontId="31" fillId="0" borderId="0" xfId="3" applyFont="1" applyAlignment="1">
      <alignment wrapText="1"/>
    </xf>
    <xf numFmtId="179" fontId="31" fillId="0" borderId="0" xfId="3" applyNumberFormat="1" applyFont="1"/>
    <xf numFmtId="0" fontId="2" fillId="0" borderId="0" xfId="1" applyFill="1"/>
    <xf numFmtId="0" fontId="28" fillId="9" borderId="17" xfId="0" applyFont="1" applyFill="1" applyBorder="1" applyAlignment="1">
      <alignment horizontal="centerContinuous" vertical="center"/>
    </xf>
    <xf numFmtId="0" fontId="15" fillId="9" borderId="17" xfId="0" applyFont="1" applyFill="1" applyBorder="1" applyAlignment="1">
      <alignment horizontal="centerContinuous" vertical="center"/>
    </xf>
    <xf numFmtId="0" fontId="29" fillId="9" borderId="1" xfId="0" applyFont="1" applyFill="1" applyBorder="1" applyAlignment="1" applyProtection="1">
      <alignment horizontal="center" vertical="center"/>
      <protection locked="0"/>
    </xf>
    <xf numFmtId="0" fontId="29" fillId="9" borderId="21" xfId="0" applyFont="1" applyFill="1" applyBorder="1" applyAlignment="1" applyProtection="1">
      <alignment horizontal="center" vertical="center"/>
      <protection locked="0"/>
    </xf>
    <xf numFmtId="49" fontId="16" fillId="9" borderId="21" xfId="0" applyNumberFormat="1" applyFont="1" applyFill="1" applyBorder="1" applyAlignment="1">
      <alignment horizontal="center" vertical="top" wrapText="1"/>
    </xf>
    <xf numFmtId="0" fontId="14" fillId="9" borderId="37" xfId="0" applyFont="1" applyFill="1" applyBorder="1" applyAlignment="1" applyProtection="1">
      <alignment horizontal="center" vertical="center"/>
      <protection locked="0"/>
    </xf>
    <xf numFmtId="0" fontId="27" fillId="10" borderId="18" xfId="0" applyFont="1" applyFill="1" applyBorder="1" applyAlignment="1">
      <alignment horizontal="center" vertical="center"/>
    </xf>
    <xf numFmtId="164" fontId="15" fillId="10" borderId="40" xfId="0" applyNumberFormat="1" applyFont="1" applyFill="1" applyBorder="1" applyAlignment="1" applyProtection="1">
      <alignment horizontal="center" vertical="center"/>
      <protection hidden="1"/>
    </xf>
    <xf numFmtId="49" fontId="32" fillId="0" borderId="35" xfId="0" applyNumberFormat="1" applyFont="1" applyBorder="1" applyAlignment="1" applyProtection="1">
      <alignment vertical="center"/>
      <protection hidden="1"/>
    </xf>
  </cellXfs>
  <cellStyles count="4">
    <cellStyle name="Euro" xfId="2" xr:uid="{00000000-0005-0000-0000-000000000000}"/>
    <cellStyle name="Link" xfId="1" builtinId="8"/>
    <cellStyle name="Standard" xfId="0" builtinId="0"/>
    <cellStyle name="Standard 2" xfId="3" xr:uid="{26B4D1EF-04CE-4C7E-986C-EBEEA135F660}"/>
  </cellStyles>
  <dxfs count="104">
    <dxf>
      <font>
        <strike/>
        <color theme="0" tint="-0.34998626667073579"/>
      </font>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border>
        <bottom style="thin">
          <color theme="9"/>
        </bottom>
      </border>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bottom style="thin">
          <color theme="9"/>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rgb="FF70AD47"/>
        </top>
      </border>
    </dxf>
    <dxf>
      <border diagonalUp="0" diagonalDown="0">
        <left style="thin">
          <color rgb="FF70AD47"/>
        </left>
        <right style="thin">
          <color rgb="FF70AD47"/>
        </right>
        <top style="thin">
          <color rgb="FF70AD47"/>
        </top>
        <bottom style="thin">
          <color rgb="FF70AD47"/>
        </bottom>
      </border>
    </dxf>
    <dxf>
      <alignment horizontal="general" vertical="top" textRotation="0" wrapText="1" indent="0" justifyLastLine="0" shrinkToFit="0" readingOrder="0"/>
    </dxf>
    <dxf>
      <border>
        <bottom style="thin">
          <color rgb="FFFFFFFF"/>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0"/>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left" vertical="top" textRotation="0" wrapText="1" indent="0" justifyLastLine="0" shrinkToFit="0" readingOrder="0"/>
      <protection locked="1" hidden="0"/>
    </dxf>
    <dxf>
      <numFmt numFmtId="19" formatCode="dd/mm/yyyy"/>
      <fill>
        <patternFill patternType="none">
          <fgColor auto="1"/>
          <bgColor indexed="65"/>
        </patternFill>
      </fill>
      <alignment horizontal="left" vertical="top" textRotation="0" wrapText="1" indent="0" justifyLastLine="0" shrinkToFit="0" readingOrder="0"/>
      <protection locked="1" hidden="0"/>
    </dxf>
    <dxf>
      <fill>
        <patternFill patternType="none">
          <fgColor auto="1"/>
          <bgColor indexed="65"/>
        </patternFill>
      </fill>
      <alignment horizontal="general" vertical="top" textRotation="0" wrapText="1" indent="0" justifyLastLine="0" shrinkToFit="0" readingOrder="0"/>
      <protection locked="0" hidden="0"/>
    </dxf>
    <dxf>
      <fill>
        <patternFill patternType="none">
          <fgColor auto="1"/>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none">
          <fgColor auto="1"/>
          <bgColor indexed="65"/>
        </patternFill>
      </fill>
      <alignment horizontal="general" vertical="top" textRotation="0" wrapText="1" indent="0" justifyLastLine="0" shrinkToFit="0" readingOrder="0"/>
      <protection locked="1" hidden="0"/>
    </dxf>
    <dxf>
      <border>
        <top style="thin">
          <color theme="9" tint="0.39994506668294322"/>
        </top>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none">
          <fgColor auto="1"/>
          <bgColor indexed="65"/>
        </patternFill>
      </fill>
      <alignment horizontal="general" vertical="top" textRotation="0" wrapText="1" indent="0" justifyLastLine="0" shrinkToFit="0" readingOrder="0"/>
      <protection locked="1" hidden="0"/>
    </dxf>
    <dxf>
      <border>
        <bottom style="thin">
          <color theme="9" tint="0.39994506668294322"/>
        </bottom>
      </border>
    </dxf>
    <dxf>
      <font>
        <b/>
        <i val="0"/>
        <strike val="0"/>
        <condense val="0"/>
        <extend val="0"/>
        <outline val="0"/>
        <shadow val="0"/>
        <u val="none"/>
        <vertAlign val="baseline"/>
        <sz val="11"/>
        <color theme="0"/>
        <name val="Calibri"/>
        <scheme val="minor"/>
      </font>
      <fill>
        <patternFill patternType="solid">
          <fgColor indexed="64"/>
          <bgColor theme="2" tint="-0.749992370372631"/>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border>
      <protection locked="1" hidden="0"/>
    </dxf>
    <dxf>
      <numFmt numFmtId="19" formatCode="dd/mm/yyyy"/>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9" formatCode="dd/mm/yyyy"/>
      <fill>
        <patternFill patternType="solid">
          <fgColor indexed="64"/>
          <bgColor theme="4" tint="-0.249977111117893"/>
        </patternFill>
      </fill>
      <alignment horizontal="left" vertical="top" textRotation="0" wrapText="1"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30" formatCode="@"/>
      <fill>
        <patternFill patternType="none">
          <fgColor indexed="64"/>
          <bgColor auto="1"/>
        </patternFill>
      </fill>
      <alignment horizontal="left"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protection locked="0" hidden="0"/>
    </dxf>
    <dxf>
      <numFmt numFmtId="174" formatCode="#,##0.00\ [$RSD]"/>
      <fill>
        <patternFill patternType="none">
          <fgColor indexed="64"/>
          <bgColor auto="1"/>
        </patternFill>
      </fill>
      <alignment horizontal="general" vertical="top" textRotation="0" wrapText="0" indent="0" justifyLastLine="0" shrinkToFit="0" readingOrder="0"/>
    </dxf>
    <dxf>
      <numFmt numFmtId="174" formatCode="#,##0.00\ [$RSD]"/>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scheme val="minor"/>
      </font>
      <numFmt numFmtId="174" formatCode="#,##0.00\ [$RSD]"/>
      <fill>
        <patternFill patternType="none">
          <fgColor indexed="64"/>
          <bgColor auto="1"/>
        </patternFill>
      </fill>
      <alignment horizontal="general" vertical="top" textRotation="0" wrapText="0" indent="0" justifyLastLine="0" shrinkToFit="0" readingOrder="0"/>
    </dxf>
    <dxf>
      <numFmt numFmtId="180" formatCode="#.##000\ &quot;€&quot;"/>
      <fill>
        <patternFill patternType="none">
          <fgColor indexed="64"/>
          <bgColor auto="1"/>
        </patternFill>
      </fill>
      <alignment horizontal="general" vertical="top" textRotation="0" wrapText="0" indent="0" justifyLastLine="0" shrinkToFit="0" readingOrder="0"/>
    </dxf>
    <dxf>
      <border>
        <bottom style="thin">
          <color theme="9"/>
        </bottom>
      </border>
    </dxf>
    <dxf>
      <font>
        <b/>
        <i val="0"/>
        <strike val="0"/>
        <condense val="0"/>
        <extend val="0"/>
        <outline val="0"/>
        <shadow val="0"/>
        <u val="none"/>
        <vertAlign val="baseline"/>
        <sz val="12"/>
        <color theme="0"/>
        <name val="Calibri"/>
        <scheme val="minor"/>
      </font>
      <numFmt numFmtId="164" formatCode="#,##0.00\ &quot;€&quot;"/>
      <fill>
        <patternFill patternType="solid">
          <fgColor indexed="64"/>
          <bgColor theme="7" tint="-0.249977111117893"/>
        </patternFill>
      </fill>
      <alignment horizontal="center" vertical="top" textRotation="0" wrapText="1" indent="0" justifyLastLine="0" shrinkToFit="0" readingOrder="0"/>
      <border diagonalUp="0" diagonalDown="0" outline="0">
        <left style="hair">
          <color indexed="64"/>
        </left>
        <right style="hair">
          <color indexed="64"/>
        </right>
        <top/>
        <bottom/>
      </border>
      <protection locked="1" hidden="0"/>
    </dxf>
    <dxf>
      <font>
        <b/>
        <strike val="0"/>
        <outline val="0"/>
        <shadow val="0"/>
        <u val="none"/>
        <vertAlign val="baseline"/>
        <sz val="11"/>
        <color auto="1"/>
        <name val="Calibri"/>
        <scheme val="minor"/>
      </font>
      <numFmt numFmtId="164" formatCode="#,##0.00\ &quot;€&quot;"/>
      <fill>
        <patternFill patternType="none">
          <fgColor indexed="64"/>
          <bgColor auto="1"/>
        </patternFill>
      </fill>
      <alignment horizontal="right" vertical="center" textRotation="0" wrapText="0" indent="1"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7"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5"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b/>
        <strike val="0"/>
        <outline val="0"/>
        <shadow val="0"/>
        <u val="none"/>
        <vertAlign val="baseline"/>
        <sz val="11"/>
        <color rgb="FFC00000"/>
        <name val="Calibri"/>
        <scheme val="minor"/>
      </font>
      <numFmt numFmtId="164"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theme="5" tint="-0.24994659260841701"/>
        </left>
        <right style="thin">
          <color theme="5" tint="-0.24994659260841701"/>
        </right>
        <top style="thin">
          <color theme="0"/>
        </top>
        <bottom style="thin">
          <color theme="0"/>
        </bottom>
      </border>
      <protection locked="0" hidden="0"/>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theme="0"/>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b/>
        <color theme="9" tint="-0.499984740745262"/>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64" formatCode="#,##0.00\ &quot;€&quot;"/>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ont>
        <b/>
      </font>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ill>
        <patternFill>
          <fgColor indexed="64"/>
          <bgColor theme="0"/>
        </patternFill>
      </fill>
    </dxf>
    <dxf>
      <border>
        <bottom style="thin">
          <color theme="9"/>
        </bottom>
      </border>
    </dxf>
    <dxf>
      <font>
        <b/>
        <strike val="0"/>
        <outline val="0"/>
        <shadow val="0"/>
        <u val="none"/>
        <vertAlign val="baseline"/>
        <sz val="12"/>
        <color theme="0"/>
        <name val="Calibri"/>
        <scheme val="minor"/>
      </font>
      <numFmt numFmtId="30" formatCode="@"/>
      <fill>
        <patternFill patternType="solid">
          <fgColor indexed="64"/>
          <bgColor theme="9"/>
        </patternFill>
      </fill>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2A421A"/>
      <color rgb="FFFFFF00"/>
      <color rgb="FF6600FF"/>
      <color rgb="FFFFFF99"/>
      <color rgb="FFFFFFCC"/>
      <color rgb="FFFF00FF"/>
      <color rgb="FF008000"/>
      <color rgb="FFFF3300"/>
      <color rgb="FFFF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247650</xdr:colOff>
      <xdr:row>1</xdr:row>
      <xdr:rowOff>428625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 y="19050"/>
          <a:ext cx="41529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500" b="1">
              <a:solidFill>
                <a:schemeClr val="accent6">
                  <a:lumMod val="50000"/>
                </a:schemeClr>
              </a:solidFill>
              <a:latin typeface="Calibri" panose="020F0502020204030204" pitchFamily="34" charset="0"/>
              <a:cs typeface="Calibri" panose="020F0502020204030204" pitchFamily="34" charset="0"/>
            </a:rPr>
            <a:t>Variation Fee Calculator – EU</a:t>
          </a:r>
        </a:p>
        <a:p>
          <a:r>
            <a:rPr lang="de-DE" sz="1300" b="0" i="0">
              <a:solidFill>
                <a:schemeClr val="accent6">
                  <a:lumMod val="50000"/>
                </a:schemeClr>
              </a:solidFill>
              <a:latin typeface="Calibri" panose="020F0502020204030204" pitchFamily="34" charset="0"/>
              <a:cs typeface="Calibri" panose="020F0502020204030204" pitchFamily="34" charset="0"/>
            </a:rPr>
            <a:t>for EU 27, EMA, CH, IS,</a:t>
          </a:r>
          <a:r>
            <a:rPr lang="de-DE" sz="1300" b="0" i="0" baseline="0">
              <a:solidFill>
                <a:schemeClr val="accent6">
                  <a:lumMod val="50000"/>
                </a:schemeClr>
              </a:solidFill>
              <a:latin typeface="Calibri" panose="020F0502020204030204" pitchFamily="34" charset="0"/>
              <a:cs typeface="Calibri" panose="020F0502020204030204" pitchFamily="34" charset="0"/>
            </a:rPr>
            <a:t> NO, UK (national/CMS), RS </a:t>
          </a:r>
        </a:p>
        <a:p>
          <a:r>
            <a:rPr lang="de-DE" sz="1300" b="0" i="0">
              <a:solidFill>
                <a:schemeClr val="accent6">
                  <a:lumMod val="50000"/>
                </a:schemeClr>
              </a:solidFill>
              <a:latin typeface="Calibri" panose="020F0502020204030204" pitchFamily="34" charset="0"/>
              <a:cs typeface="Calibri" panose="020F0502020204030204" pitchFamily="34" charset="0"/>
            </a:rPr>
            <a:t>© Dr. Tom Deutschle, 18.02.2026 – Version 2.0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9524</xdr:colOff>
      <xdr:row>1</xdr:row>
      <xdr:rowOff>333375</xdr:rowOff>
    </xdr:to>
    <xdr:sp macro="" textlink="">
      <xdr:nvSpPr>
        <xdr:cNvPr id="9" name="Textfeld 8">
          <a:extLst>
            <a:ext uri="{FF2B5EF4-FFF2-40B4-BE49-F238E27FC236}">
              <a16:creationId xmlns:a16="http://schemas.microsoft.com/office/drawing/2014/main" id="{FEEE6929-2F57-4D46-95BA-47D1F0722D20}"/>
            </a:ext>
          </a:extLst>
        </xdr:cNvPr>
        <xdr:cNvSpPr txBox="1"/>
      </xdr:nvSpPr>
      <xdr:spPr>
        <a:xfrm>
          <a:off x="0" y="0"/>
          <a:ext cx="380999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chemeClr val="accent4">
                  <a:lumMod val="50000"/>
                </a:schemeClr>
              </a:solidFill>
              <a:latin typeface="Calibri" panose="020F0502020204030204" pitchFamily="34" charset="0"/>
              <a:cs typeface="Calibri" panose="020F0502020204030204" pitchFamily="34" charset="0"/>
            </a:rPr>
            <a:t>EU – Variation Fee Calculator</a:t>
          </a:r>
        </a:p>
        <a:p>
          <a:r>
            <a:rPr lang="de-DE" sz="1100" i="0">
              <a:solidFill>
                <a:schemeClr val="accent4">
                  <a:lumMod val="50000"/>
                </a:schemeClr>
              </a:solidFill>
              <a:latin typeface="Calibri" panose="020F0502020204030204" pitchFamily="34" charset="0"/>
              <a:cs typeface="Calibri" panose="020F0502020204030204" pitchFamily="34" charset="0"/>
            </a:rPr>
            <a:t>National currencies</a:t>
          </a:r>
        </a:p>
        <a:p>
          <a:r>
            <a:rPr lang="de-DE" sz="1100" i="0">
              <a:solidFill>
                <a:schemeClr val="accent4">
                  <a:lumMod val="50000"/>
                </a:schemeClr>
              </a:solidFill>
              <a:latin typeface="Calibri" panose="020F0502020204030204" pitchFamily="34" charset="0"/>
              <a:cs typeface="Calibri" panose="020F0502020204030204" pitchFamily="34" charset="0"/>
            </a:rPr>
            <a:t>© Dr. Tom Deutschle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112394</xdr:rowOff>
    </xdr:from>
    <xdr:to>
      <xdr:col>0</xdr:col>
      <xdr:colOff>4238625</xdr:colOff>
      <xdr:row>26</xdr:row>
      <xdr:rowOff>83819</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114300" y="112394"/>
          <a:ext cx="4124325" cy="4733925"/>
        </a:xfrm>
        <a:prstGeom prst="rect">
          <a:avLst/>
        </a:prstGeom>
        <a:gradFill>
          <a:gsLst>
            <a:gs pos="0">
              <a:schemeClr val="accent6">
                <a:lumMod val="20000"/>
                <a:lumOff val="80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w="9525" cmpd="sng">
          <a:solidFill>
            <a:schemeClr val="accent6">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200" b="1">
            <a:latin typeface="+mn-lt"/>
            <a:cs typeface="Arial" panose="020B0604020202020204" pitchFamily="34" charset="0"/>
          </a:endParaRPr>
        </a:p>
        <a:p>
          <a:pPr algn="ctr"/>
          <a:r>
            <a:rPr lang="de-DE" sz="2300" b="1" baseline="0">
              <a:solidFill>
                <a:srgbClr val="2A421A"/>
              </a:solidFill>
              <a:latin typeface="+mn-lt"/>
              <a:cs typeface="Arial" panose="020B0604020202020204" pitchFamily="34" charset="0"/>
            </a:rPr>
            <a:t>Variation Fee Calculator – EU</a:t>
          </a:r>
        </a:p>
        <a:p>
          <a:pPr algn="ctr"/>
          <a:endParaRPr lang="de-DE" sz="12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for EU27, EMA, CH, IS, NO, UK (national/CMS), RS</a:t>
          </a:r>
        </a:p>
        <a:p>
          <a:pPr algn="ctr"/>
          <a:endParaRPr lang="de-DE" sz="14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Version 2.0</a:t>
          </a:r>
        </a:p>
        <a:p>
          <a:pPr algn="ctr"/>
          <a:endParaRPr lang="de-DE" sz="1400" baseline="0">
            <a:solidFill>
              <a:srgbClr val="2A421A"/>
            </a:solidFill>
            <a:latin typeface="+mn-lt"/>
            <a:cs typeface="Arial" panose="020B0604020202020204" pitchFamily="34" charset="0"/>
          </a:endParaRPr>
        </a:p>
        <a:p>
          <a:pPr algn="ctr"/>
          <a:r>
            <a:rPr lang="de-DE" sz="1400" i="0">
              <a:solidFill>
                <a:srgbClr val="2A421A"/>
              </a:solidFill>
              <a:latin typeface="+mn-lt"/>
              <a:cs typeface="Arial" panose="020B0604020202020204" pitchFamily="34" charset="0"/>
            </a:rPr>
            <a:t>© Dr. Tom Deutschle, 2019 - 2026</a:t>
          </a:r>
        </a:p>
        <a:p>
          <a:pPr algn="ctr"/>
          <a:endParaRPr lang="de-DE" sz="1000" i="1" baseline="0">
            <a:solidFill>
              <a:srgbClr val="2A421A"/>
            </a:solidFill>
            <a:latin typeface="+mn-lt"/>
            <a:cs typeface="Arial" panose="020B0604020202020204" pitchFamily="34" charset="0"/>
          </a:endParaRPr>
        </a:p>
        <a:p>
          <a:pPr algn="l"/>
          <a:r>
            <a:rPr lang="de-DE" sz="1000" i="1" baseline="0">
              <a:solidFill>
                <a:srgbClr val="2A421A"/>
              </a:solidFill>
              <a:latin typeface="+mn-lt"/>
              <a:cs typeface="Arial" panose="020B0604020202020204" pitchFamily="34" charset="0"/>
            </a:rPr>
            <a:t>-----------------------------------------------------------------------------------------------------</a:t>
          </a:r>
        </a:p>
        <a:p>
          <a:pPr algn="l"/>
          <a:r>
            <a:rPr lang="de-DE" sz="1300" b="1" i="0" baseline="0">
              <a:solidFill>
                <a:srgbClr val="2A421A"/>
              </a:solidFill>
              <a:latin typeface="+mn-lt"/>
              <a:cs typeface="Arial" panose="020B0604020202020204" pitchFamily="34" charset="0"/>
            </a:rPr>
            <a:t>Dr. Tom Deutschle</a:t>
          </a:r>
        </a:p>
        <a:p>
          <a:pPr algn="l"/>
          <a:r>
            <a:rPr lang="de-DE" sz="1300" i="0" baseline="0">
              <a:solidFill>
                <a:srgbClr val="2A421A"/>
              </a:solidFill>
              <a:latin typeface="+mn-lt"/>
              <a:cs typeface="Arial" panose="020B0604020202020204" pitchFamily="34" charset="0"/>
            </a:rPr>
            <a:t>(Diplom-Biologe, MDRA)</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Irma-Keilhack-Ring 20</a:t>
          </a:r>
        </a:p>
        <a:p>
          <a:pPr algn="l"/>
          <a:r>
            <a:rPr lang="de-DE" sz="1300" i="0" baseline="0">
              <a:solidFill>
                <a:srgbClr val="2A421A"/>
              </a:solidFill>
              <a:latin typeface="+mn-lt"/>
              <a:cs typeface="Arial" panose="020B0604020202020204" pitchFamily="34" charset="0"/>
            </a:rPr>
            <a:t>22145 Hamburg</a:t>
          </a:r>
        </a:p>
        <a:p>
          <a:pPr algn="l"/>
          <a:r>
            <a:rPr lang="de-DE" sz="1300" i="0" baseline="0">
              <a:solidFill>
                <a:srgbClr val="2A421A"/>
              </a:solidFill>
              <a:latin typeface="+mn-lt"/>
              <a:cs typeface="Arial" panose="020B0604020202020204" pitchFamily="34" charset="0"/>
            </a:rPr>
            <a:t>Germany</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++49 177 2142087</a:t>
          </a:r>
        </a:p>
        <a:p>
          <a:pPr algn="l"/>
          <a:endParaRPr lang="de-DE" sz="1300" i="0" baseline="0">
            <a:solidFill>
              <a:srgbClr val="2A421A"/>
            </a:solidFill>
            <a:latin typeface="+mn-lt"/>
            <a:cs typeface="Arial" panose="020B0604020202020204" pitchFamily="34" charset="0"/>
          </a:endParaRPr>
        </a:p>
        <a:p>
          <a:pPr algn="l"/>
          <a:r>
            <a:rPr lang="de-DE" sz="1300" i="0">
              <a:solidFill>
                <a:srgbClr val="2A421A"/>
              </a:solidFill>
              <a:latin typeface="+mn-lt"/>
              <a:cs typeface="Arial" panose="020B0604020202020204" pitchFamily="34" charset="0"/>
            </a:rPr>
            <a:t>info@pharmazulassung.de</a:t>
          </a:r>
        </a:p>
        <a:p>
          <a:pPr algn="l"/>
          <a:r>
            <a:rPr lang="de-DE" sz="1300" i="0">
              <a:solidFill>
                <a:srgbClr val="2A421A"/>
              </a:solidFill>
              <a:latin typeface="+mn-lt"/>
              <a:cs typeface="Arial" panose="020B0604020202020204" pitchFamily="34" charset="0"/>
            </a:rPr>
            <a:t>https://www.pharmazulassung.de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3:S418" totalsRowShown="0" headerRowDxfId="103" dataDxfId="101" headerRowBorderDxfId="102">
  <autoFilter ref="A3:S418" xr:uid="{00000000-0009-0000-0100-000003000000}"/>
  <tableColumns count="19">
    <tableColumn id="1" xr3:uid="{00000000-0010-0000-0000-000001000000}" name="CC" dataDxfId="100"/>
    <tableColumn id="3" xr3:uid="{00000000-0010-0000-0000-000003000000}" name="Type" dataDxfId="99"/>
    <tableColumn id="4" xr3:uid="{00000000-0010-0000-0000-000004000000}" name="Role" dataDxfId="98"/>
    <tableColumn id="5" xr3:uid="{00000000-0010-0000-0000-000005000000}" name="Special cases / comments" dataDxfId="97"/>
    <tableColumn id="6" xr3:uid="{00000000-0010-0000-0000-000006000000}" name="Fee code" dataDxfId="96">
      <calculatedColumnFormula>IF('National currencies'!#REF!="","",'National currencies'!#REF!)</calculatedColumnFormula>
    </tableColumn>
    <tableColumn id="7" xr3:uid="{00000000-0010-0000-0000-000007000000}" name="1st strength" dataDxfId="95"/>
    <tableColumn id="8" xr3:uid="{00000000-0010-0000-0000-000008000000}" name="each add. strength" dataDxfId="94"/>
    <tableColumn id="9" xr3:uid="{00000000-0010-0000-0000-000009000000}" name="Type IA" dataDxfId="93"/>
    <tableColumn id="10" xr3:uid="{00000000-0010-0000-0000-00000A000000}" name="Type IB" dataDxfId="92"/>
    <tableColumn id="11" xr3:uid="{00000000-0010-0000-0000-00000B000000}" name="Type II" dataDxfId="91"/>
    <tableColumn id="17" xr3:uid="{00000000-0010-0000-0000-000011000000}" name="fixed fees, if any" dataDxfId="90"/>
    <tableColumn id="12" xr3:uid="{00000000-0010-0000-0000-00000C000000}" name="No. of strengths" dataDxfId="89"/>
    <tableColumn id="13" xr3:uid="{00000000-0010-0000-0000-00000D000000}" name=" Type IA" dataDxfId="88"/>
    <tableColumn id="14" xr3:uid="{00000000-0010-0000-0000-00000E000000}" name=" Type IB" dataDxfId="87"/>
    <tableColumn id="15" xr3:uid="{00000000-0010-0000-0000-00000F000000}" name=" Type II" dataDxfId="86"/>
    <tableColumn id="18" xr3:uid="{00000000-0010-0000-0000-000012000000}" name="Type IA _x000a_(€)" dataDxfId="85">
      <calculatedColumnFormula>IF(ISBLANK(L4),"",IF(M4=0,0,IF(L4=1,F4+(M4-1)*H4,(F4+(L4-1)*G4)+(H4+(L4-1)*G4)*(M4-1))))</calculatedColumnFormula>
    </tableColumn>
    <tableColumn id="22" xr3:uid="{00000000-0010-0000-0000-000016000000}" name="Type IB _x000a_(€)" dataDxfId="84"/>
    <tableColumn id="21" xr3:uid="{00000000-0010-0000-0000-000015000000}" name="Type II _x000a_(€)" dataDxfId="83"/>
    <tableColumn id="16" xr3:uid="{00000000-0010-0000-0000-000010000000}" name="Sub-total or_x000a_cap fee (€)" dataDxfId="82">
      <calculatedColumnFormula>IF(ISBLANK(L4),"",F4+((L4-1)*G4))</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le7" displayName="Tabelle7" ref="A2:B34" totalsRowShown="0" headerRowDxfId="17" dataDxfId="16">
  <tableColumns count="2">
    <tableColumn id="1" xr3:uid="{00000000-0010-0000-0900-000001000000}" name="Category" dataDxfId="15"/>
    <tableColumn id="2" xr3:uid="{00000000-0010-0000-0900-000002000000}" name="Comments" dataDxfId="14"/>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le6" displayName="Tabelle6" ref="A2:B11" totalsRowShown="0" headerRowBorderDxfId="13">
  <tableColumns count="2">
    <tableColumn id="1" xr3:uid="{00000000-0010-0000-0A00-000001000000}" name="Category" dataDxfId="12"/>
    <tableColumn id="2" xr3:uid="{00000000-0010-0000-0A00-000002000000}" name="Description"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elle9" displayName="Tabelle9" ref="A2:D5" totalsRowShown="0" headerRowDxfId="10" dataDxfId="8" headerRowBorderDxfId="9">
  <tableColumns count="4">
    <tableColumn id="1" xr3:uid="{00000000-0010-0000-0B00-000001000000}" name="Category (national)" dataDxfId="7"/>
    <tableColumn id="2" xr3:uid="{00000000-0010-0000-0B00-000002000000}" name="Description" dataDxfId="6"/>
    <tableColumn id="4" xr3:uid="{00000000-0010-0000-0B00-000004000000}" name="Fee" dataDxfId="5"/>
    <tableColumn id="3" xr3:uid="{00000000-0010-0000-0B00-000003000000}" name="Example" dataDxfId="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e8" displayName="Tabelle8" ref="B1:C70" totalsRowShown="0" headerRowDxfId="3">
  <tableColumns count="2">
    <tableColumn id="1" xr3:uid="{00000000-0010-0000-0C00-000001000000}" name="Date" dataDxfId="2"/>
    <tableColumn id="2" xr3:uid="{00000000-0010-0000-0C00-000002000000}" name="Topic"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4" displayName="Tabelle4" ref="A3:K418" totalsRowShown="0" headerRowDxfId="81" dataDxfId="79" headerRowBorderDxfId="80">
  <autoFilter ref="A3:K418" xr:uid="{00000000-0009-0000-0100-000004000000}"/>
  <tableColumns count="11">
    <tableColumn id="1" xr3:uid="{00000000-0010-0000-0100-000001000000}" name="CC" dataDxfId="78"/>
    <tableColumn id="3" xr3:uid="{00000000-0010-0000-0100-000003000000}" name="Type" dataDxfId="77"/>
    <tableColumn id="4" xr3:uid="{00000000-0010-0000-0100-000004000000}" name="Role" dataDxfId="76"/>
    <tableColumn id="5" xr3:uid="{00000000-0010-0000-0100-000005000000}" name="Special cases / Comments" dataDxfId="75"/>
    <tableColumn id="6" xr3:uid="{00000000-0010-0000-0100-000006000000}" name="Fee code" dataDxfId="74"/>
    <tableColumn id="7" xr3:uid="{00000000-0010-0000-0100-000007000000}" name="1st strength" dataDxfId="73"/>
    <tableColumn id="8" xr3:uid="{00000000-0010-0000-0100-000008000000}" name="each add. strength" dataDxfId="72"/>
    <tableColumn id="9" xr3:uid="{00000000-0010-0000-0100-000009000000}" name="Type IA" dataDxfId="71"/>
    <tableColumn id="10" xr3:uid="{00000000-0010-0000-0100-00000A000000}" name="Type IB" dataDxfId="70"/>
    <tableColumn id="11" xr3:uid="{00000000-0010-0000-0100-00000B000000}" name="Type II" dataDxfId="69"/>
    <tableColumn id="13" xr3:uid="{00000000-0010-0000-0100-00000D000000}" name="fixed fees" dataDxfId="68"/>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C12" totalsRowShown="0" headerRowDxfId="67">
  <tableColumns count="3">
    <tableColumn id="1" xr3:uid="{00000000-0010-0000-0200-000001000000}" name="Non-€-CC" dataDxfId="66"/>
    <tableColumn id="2" xr3:uid="{00000000-0010-0000-0200-000002000000}" name="Exchange rate (1 € = X,XX)" dataDxfId="65"/>
    <tableColumn id="3" xr3:uid="{00000000-0010-0000-0200-000003000000}" name="Last updated"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le2" displayName="Tabelle2" ref="A1:G34" totalsRowShown="0" headerRowDxfId="63" dataDxfId="61" headerRowBorderDxfId="62" tableBorderDxfId="60" totalsRowBorderDxfId="59">
  <autoFilter ref="A1:G34" xr:uid="{00000000-0009-0000-0100-000002000000}"/>
  <tableColumns count="7">
    <tableColumn id="1" xr3:uid="{00000000-0010-0000-0300-000001000000}" name="CC" dataDxfId="58"/>
    <tableColumn id="2" xr3:uid="{00000000-0010-0000-0300-000002000000}" name="link to HA fee website" dataDxfId="57"/>
    <tableColumn id="3" xr3:uid="{00000000-0010-0000-0300-000003000000}" name="comments" dataDxfId="56"/>
    <tableColumn id="4" xr3:uid="{00000000-0010-0000-0300-000004000000}" name="fees last updated in calculator" dataDxfId="55"/>
    <tableColumn id="7" xr3:uid="{00000000-0010-0000-0300-000007000000}" name="fees last checked on HA websites" dataDxfId="54"/>
    <tableColumn id="5" xr3:uid="{00000000-0010-0000-0300-000005000000}" name="payment method" dataDxfId="53"/>
    <tableColumn id="6" xr3:uid="{00000000-0010-0000-0300-000006000000}" name="annual fee" dataDxfId="5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96" displayName="Tabelle96" ref="A2:B12" totalsRowShown="0" headerRowDxfId="51" dataDxfId="49" headerRowBorderDxfId="50" tableBorderDxfId="48" totalsRowBorderDxfId="47">
  <tableColumns count="2">
    <tableColumn id="1" xr3:uid="{00000000-0010-0000-0400-000001000000}" name="Category" dataDxfId="46"/>
    <tableColumn id="2" xr3:uid="{00000000-0010-0000-0400-000002000000}" name="Descriptio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e911" displayName="Tabelle911" ref="A2:B4" totalsRowShown="0" headerRowDxfId="44" dataDxfId="42" headerRowBorderDxfId="43" tableBorderDxfId="41" totalsRowBorderDxfId="40">
  <tableColumns count="2">
    <tableColumn id="1" xr3:uid="{00000000-0010-0000-0500-000001000000}" name="Category" dataDxfId="39"/>
    <tableColumn id="2" xr3:uid="{00000000-0010-0000-0500-000002000000}" name="Cap Fee" dataDxfId="3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le91114" displayName="Tabelle91114" ref="A2:D12" totalsRowShown="0" headerRowDxfId="37" dataDxfId="35" headerRowBorderDxfId="36" tableBorderDxfId="34" totalsRowBorderDxfId="33">
  <tableColumns count="4">
    <tableColumn id="1" xr3:uid="{00000000-0010-0000-0600-000001000000}" name="Category" dataDxfId="32"/>
    <tableColumn id="2" xr3:uid="{00000000-0010-0000-0600-000002000000}" name="Description" dataDxfId="31"/>
    <tableColumn id="3" xr3:uid="{00000000-0010-0000-0600-000003000000}" name="Description2" dataDxfId="30"/>
    <tableColumn id="4" xr3:uid="{00000000-0010-0000-0600-000004000000}" name=" " dataDxfId="2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le91113" displayName="Tabelle91113" ref="A2:C20" totalsRowShown="0" headerRowDxfId="28" dataDxfId="26" headerRowBorderDxfId="27" tableBorderDxfId="25" totalsRowBorderDxfId="24">
  <tableColumns count="3">
    <tableColumn id="1" xr3:uid="{00000000-0010-0000-0700-000001000000}" name="Category" dataDxfId="23"/>
    <tableColumn id="2" xr3:uid="{00000000-0010-0000-0700-000002000000}" name="Description" dataDxfId="22"/>
    <tableColumn id="3" xr3:uid="{00000000-0010-0000-0700-000003000000}" name="Description2" dataDxfId="2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e91112" displayName="Tabelle91112" ref="A2:A4" totalsRowShown="0" headerRowDxfId="20" dataDxfId="19">
  <tableColumns count="1">
    <tableColumn id="1" xr3:uid="{00000000-0010-0000-0800-000001000000}" name="Category"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ankenverband.de/service/waehrungsrechner/table/" TargetMode="External"/><Relationship Id="rId1" Type="http://schemas.openxmlformats.org/officeDocument/2006/relationships/hyperlink" Target="https://www.ecb.europa.eu/"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aegemiddelstyrelsen.dk/en/licensing/fees" TargetMode="External"/><Relationship Id="rId18" Type="http://schemas.openxmlformats.org/officeDocument/2006/relationships/hyperlink" Target="https://www.aifa.gov.it/tariffe" TargetMode="External"/><Relationship Id="rId26" Type="http://schemas.openxmlformats.org/officeDocument/2006/relationships/hyperlink" Target="https://www.legemiddelverket.no/en/approval-of-medicines/approval-and-follow-up-of-marketing-authorisation-ma/other-information-regarding-ma/regulatory-fees" TargetMode="External"/><Relationship Id="rId3" Type="http://schemas.openxmlformats.org/officeDocument/2006/relationships/hyperlink" Target="https://www.jazmp.si/en/fees/" TargetMode="External"/><Relationship Id="rId21" Type="http://schemas.openxmlformats.org/officeDocument/2006/relationships/hyperlink" Target="https://www.infarmed.pt/web/infarmed/taxas" TargetMode="External"/><Relationship Id="rId34" Type="http://schemas.openxmlformats.org/officeDocument/2006/relationships/printerSettings" Target="../printerSettings/printerSettings4.bin"/><Relationship Id="rId7" Type="http://schemas.openxmlformats.org/officeDocument/2006/relationships/hyperlink" Target="https://english.cbg-meb.nl/topics/mah-fees-and-product-types" TargetMode="External"/><Relationship Id="rId12" Type="http://schemas.openxmlformats.org/officeDocument/2006/relationships/hyperlink" Target="http://www.eof.gr/web/guest/procedures?p_p_id=62_INSTANCE_gTy0&amp;p_p_lifecycle=0&amp;p_p_state=maximized&amp;p_p_mode=view&amp;p_p_col_id=column-2&amp;p_p_col_count=1&amp;_62_INSTANCE_gTy0_struts_action=%2Fjournal_articles%2Fview&amp;_62_INSTANCE_gTy0_groupId=12225&amp;_62_INSTANCE_gT" TargetMode="External"/><Relationship Id="rId17" Type="http://schemas.openxmlformats.org/officeDocument/2006/relationships/hyperlink" Target="https://www.swissmedic.ch/swissmedic/de/home/humanarzneimittel/clinical-trials/gebuehren.html" TargetMode="External"/><Relationship Id="rId25" Type="http://schemas.openxmlformats.org/officeDocument/2006/relationships/hyperlink" Target="https://www.boe.es/eli/es/l/2022/12/27/38" TargetMode="External"/><Relationship Id="rId33" Type="http://schemas.openxmlformats.org/officeDocument/2006/relationships/hyperlink" Target="https://vvkt.lrv.lt/media/viesa/saugykla/2023/9/PLdwZk6CyNk.pdf" TargetMode="External"/><Relationship Id="rId2" Type="http://schemas.openxmlformats.org/officeDocument/2006/relationships/hyperlink" Target="https://www.ogyei.gov.hu/laws_and_regulations" TargetMode="External"/><Relationship Id="rId16" Type="http://schemas.openxmlformats.org/officeDocument/2006/relationships/hyperlink" Target="http://www.hpra.ie/homepage/medicines/regulatory-information/medicines-fees" TargetMode="External"/><Relationship Id="rId20" Type="http://schemas.openxmlformats.org/officeDocument/2006/relationships/hyperlink" Target="https://www.halmed.hr/en/O-HALMED-u/Usluge-i-cjenik/Cjenik-usluga-HALMED-a/" TargetMode="External"/><Relationship Id="rId29" Type="http://schemas.openxmlformats.org/officeDocument/2006/relationships/hyperlink" Target="https://www.ema.europa.eu/en/about-us/fees-payable-european-medicines-agency" TargetMode="External"/><Relationship Id="rId1" Type="http://schemas.openxmlformats.org/officeDocument/2006/relationships/hyperlink" Target="https://www.famhp.be/en/items-HOME/fees" TargetMode="External"/><Relationship Id="rId6" Type="http://schemas.openxmlformats.org/officeDocument/2006/relationships/hyperlink" Target="https://www.anm.ro/en/medicamente-de-uz-uman/formulare-si-tarife/" TargetMode="External"/><Relationship Id="rId11" Type="http://schemas.openxmlformats.org/officeDocument/2006/relationships/hyperlink" Target="https://www.ima.is/ima/fees/" TargetMode="External"/><Relationship Id="rId24" Type="http://schemas.openxmlformats.org/officeDocument/2006/relationships/hyperlink" Target="https://www.gesetze-im-internet.de/bmgbgebv/BJNR439100021.html" TargetMode="External"/><Relationship Id="rId32" Type="http://schemas.openxmlformats.org/officeDocument/2006/relationships/hyperlink" Target="https://www.moh.gov.cy/moh/phs/phs.nsf/fees_table_el/fees_table_el?openform" TargetMode="External"/><Relationship Id="rId5" Type="http://schemas.openxmlformats.org/officeDocument/2006/relationships/hyperlink" Target="https://www.sukl.sk/en/registration-of-medicinal-product/instructions/fees-for-drug-registrations-connected-to-the-amendment-of-the-act-on-administrative-fees?page_id=3161" TargetMode="External"/><Relationship Id="rId15" Type="http://schemas.openxmlformats.org/officeDocument/2006/relationships/hyperlink" Target="https://www.basg.gv.at/en/about-us/fees/" TargetMode="External"/><Relationship Id="rId23" Type="http://schemas.openxmlformats.org/officeDocument/2006/relationships/hyperlink" Target="https://ravimiamet.ee/en/agency-and-contact/fees" TargetMode="External"/><Relationship Id="rId28" Type="http://schemas.openxmlformats.org/officeDocument/2006/relationships/hyperlink" Target="https://sukl.gov.cz/en/en-reg-platby-za-zmeny-registraci/amendment-to-the-reimbursement-decree-effective-as-of-1-june-2019/" TargetMode="External"/><Relationship Id="rId10" Type="http://schemas.openxmlformats.org/officeDocument/2006/relationships/hyperlink" Target="https://sante.public.lu/dam-assets/fr/politique-sante/ministere-sante/direction-sante/div-pharmacie-medicaments/LU-fees-for-marketing-authorisations-_human_.pdf" TargetMode="External"/><Relationship Id="rId19" Type="http://schemas.openxmlformats.org/officeDocument/2006/relationships/hyperlink" Target="https://www.lakemedelsverket.se/sv/tillstand-godkannande-och-kontroll/forsaljningstillstand/avgifter" TargetMode="External"/><Relationship Id="rId31" Type="http://schemas.openxmlformats.org/officeDocument/2006/relationships/hyperlink" Target="https://www.gov.pl/web/urpl/zmiany-mrpdcp-z-rozporzadzenia-12342008" TargetMode="External"/><Relationship Id="rId4" Type="http://schemas.openxmlformats.org/officeDocument/2006/relationships/hyperlink" Target="https://www.gov.uk/government/publications/mhra-fees/current-mhra-fees" TargetMode="External"/><Relationship Id="rId9" Type="http://schemas.openxmlformats.org/officeDocument/2006/relationships/hyperlink" Target="https://www.zva.gov.lv/en/legislation" TargetMode="External"/><Relationship Id="rId14" Type="http://schemas.openxmlformats.org/officeDocument/2006/relationships/hyperlink" Target="https://www.bda.bg/en/113-information-for-companies-section/permissions-to-use" TargetMode="External"/><Relationship Id="rId22" Type="http://schemas.openxmlformats.org/officeDocument/2006/relationships/hyperlink" Target="https://ansm.sante.fr/page/amm-taxes-et-redevances" TargetMode="External"/><Relationship Id="rId27" Type="http://schemas.openxmlformats.org/officeDocument/2006/relationships/hyperlink" Target="https://www.alims.gov.rs/english/regulations/pricelist/" TargetMode="External"/><Relationship Id="rId30" Type="http://schemas.openxmlformats.org/officeDocument/2006/relationships/hyperlink" Target="https://fimea.fi/en/-/the-new-decree-on-fees-chargeable-by-the-finnish-medicines-agency-into-force-on-1-january-2025" TargetMode="External"/><Relationship Id="rId35" Type="http://schemas.openxmlformats.org/officeDocument/2006/relationships/table" Target="../tables/table4.xml"/><Relationship Id="rId8" Type="http://schemas.openxmlformats.org/officeDocument/2006/relationships/hyperlink" Target="https://medicinesauthority.gov.mt/productfe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249977111117893"/>
    <pageSetUpPr fitToPage="1"/>
  </sheetPr>
  <dimension ref="A1:S419"/>
  <sheetViews>
    <sheetView tabSelected="1" zoomScale="85" zoomScaleNormal="85" workbookViewId="0">
      <pane xSplit="5" ySplit="3" topLeftCell="F4" activePane="bottomRight" state="frozen"/>
      <selection pane="topRight" activeCell="F1" sqref="F1"/>
      <selection pane="bottomLeft" activeCell="A5" sqref="A5"/>
      <selection pane="bottomRight" activeCell="L9" sqref="L9"/>
    </sheetView>
  </sheetViews>
  <sheetFormatPr baseColWidth="10" defaultColWidth="9.07421875" defaultRowHeight="14.6" x14ac:dyDescent="0.4"/>
  <cols>
    <col min="1" max="1" width="5.3046875" style="4" customWidth="1"/>
    <col min="2" max="2" width="6.4609375" style="4" customWidth="1"/>
    <col min="3" max="3" width="9.3046875" style="4" customWidth="1"/>
    <col min="4" max="4" width="36.07421875" style="4" customWidth="1"/>
    <col min="5" max="5" width="17.4609375" style="4" customWidth="1"/>
    <col min="6" max="6" width="14.07421875" style="4" customWidth="1"/>
    <col min="7" max="7" width="14.84375" style="4" customWidth="1"/>
    <col min="8" max="8" width="11" style="4" customWidth="1"/>
    <col min="9" max="9" width="11.07421875" style="4" customWidth="1"/>
    <col min="10" max="10" width="11.4609375" style="4" customWidth="1"/>
    <col min="11" max="11" width="12.3046875" style="5" customWidth="1"/>
    <col min="12" max="12" width="13.921875" style="4" customWidth="1"/>
    <col min="13" max="13" width="9.3046875" style="4" customWidth="1"/>
    <col min="14" max="14" width="9" style="4" customWidth="1"/>
    <col min="15" max="15" width="8.69140625" style="4" customWidth="1"/>
    <col min="16" max="16" width="12" style="4" customWidth="1"/>
    <col min="17" max="17" width="11.84375" style="4" customWidth="1"/>
    <col min="18" max="18" width="12.69140625" style="4" customWidth="1"/>
    <col min="19" max="19" width="20.4609375" style="4" customWidth="1"/>
    <col min="20" max="20" width="11.3046875" style="4" customWidth="1"/>
    <col min="21" max="21" width="11.84375" style="4" customWidth="1"/>
    <col min="22" max="22" width="11.4609375" style="4" customWidth="1"/>
    <col min="23" max="25" width="8.84375" style="4" customWidth="1"/>
    <col min="26" max="26" width="16.69140625" style="4" customWidth="1"/>
    <col min="27" max="16384" width="9.07421875" style="4"/>
  </cols>
  <sheetData>
    <row r="1" spans="1:19" s="6" customFormat="1" ht="37.85" customHeight="1" x14ac:dyDescent="0.4">
      <c r="A1" s="13"/>
      <c r="B1" s="10"/>
      <c r="C1" s="11"/>
      <c r="D1" s="11"/>
      <c r="E1" s="12"/>
      <c r="F1" s="150" t="s">
        <v>428</v>
      </c>
      <c r="G1" s="77"/>
      <c r="H1" s="78"/>
      <c r="I1" s="78"/>
      <c r="J1" s="79"/>
      <c r="K1" s="80"/>
      <c r="L1" s="121"/>
      <c r="M1" s="215" t="s">
        <v>289</v>
      </c>
      <c r="N1" s="216"/>
      <c r="O1" s="216"/>
      <c r="P1" s="151" t="s">
        <v>442</v>
      </c>
      <c r="Q1" s="81"/>
      <c r="R1" s="81"/>
      <c r="S1" s="221" t="s">
        <v>440</v>
      </c>
    </row>
    <row r="2" spans="1:19" ht="36.65" customHeight="1" x14ac:dyDescent="0.45">
      <c r="A2" s="8"/>
      <c r="B2" s="9"/>
      <c r="C2" s="7"/>
      <c r="D2" s="8"/>
      <c r="E2" s="152">
        <f ca="1">TODAY()</f>
        <v>46071</v>
      </c>
      <c r="F2" s="153" t="s">
        <v>426</v>
      </c>
      <c r="G2" s="104"/>
      <c r="H2" s="153" t="s">
        <v>427</v>
      </c>
      <c r="I2" s="105"/>
      <c r="J2" s="104"/>
      <c r="K2" s="154" t="s">
        <v>274</v>
      </c>
      <c r="L2" s="120"/>
      <c r="M2" s="217">
        <v>0</v>
      </c>
      <c r="N2" s="218">
        <v>0</v>
      </c>
      <c r="O2" s="218">
        <v>0</v>
      </c>
      <c r="P2" s="155" t="str">
        <f>IF(M2=0,"",IF(N2+O2&gt;0,"",IF(M2&lt;2,"single","grouping")))</f>
        <v/>
      </c>
      <c r="Q2" s="155" t="str">
        <f>IF(N2=0,"",IF(O2&gt;0,"",IF(M2&gt;0,"grouping",IF(N2&lt;2,"single","grouping"))))</f>
        <v/>
      </c>
      <c r="R2" s="155" t="str">
        <f>IF(O2=0,"",IF(M2+N2&gt;0,"grouping",IF(O2&lt;2,"single","grouping")))</f>
        <v/>
      </c>
      <c r="S2" s="222">
        <f>SUBTOTAL(9,S4:S418)</f>
        <v>0</v>
      </c>
    </row>
    <row r="3" spans="1:19" ht="34.200000000000003" customHeight="1" x14ac:dyDescent="0.4">
      <c r="A3" s="82" t="s">
        <v>20</v>
      </c>
      <c r="B3" s="83" t="s">
        <v>226</v>
      </c>
      <c r="C3" s="83" t="s">
        <v>292</v>
      </c>
      <c r="D3" s="83" t="s">
        <v>291</v>
      </c>
      <c r="E3" s="83" t="s">
        <v>322</v>
      </c>
      <c r="F3" s="83" t="s">
        <v>18</v>
      </c>
      <c r="G3" s="83" t="s">
        <v>17</v>
      </c>
      <c r="H3" s="83" t="s">
        <v>220</v>
      </c>
      <c r="I3" s="83" t="s">
        <v>221</v>
      </c>
      <c r="J3" s="83" t="s">
        <v>222</v>
      </c>
      <c r="K3" s="83" t="s">
        <v>1053</v>
      </c>
      <c r="L3" s="219" t="s">
        <v>290</v>
      </c>
      <c r="M3" s="83" t="s">
        <v>223</v>
      </c>
      <c r="N3" s="83" t="s">
        <v>224</v>
      </c>
      <c r="O3" s="83" t="s">
        <v>225</v>
      </c>
      <c r="P3" s="107" t="s">
        <v>423</v>
      </c>
      <c r="Q3" s="107" t="s">
        <v>424</v>
      </c>
      <c r="R3" s="83" t="s">
        <v>425</v>
      </c>
      <c r="S3" s="84" t="s">
        <v>430</v>
      </c>
    </row>
    <row r="4" spans="1:19" x14ac:dyDescent="0.4">
      <c r="A4" s="108" t="s">
        <v>38</v>
      </c>
      <c r="B4" s="109" t="s">
        <v>108</v>
      </c>
      <c r="C4" s="109" t="s">
        <v>1</v>
      </c>
      <c r="D4" s="110"/>
      <c r="E4" s="111" t="str">
        <f>IF('National currencies'!E4="","",'National currencies'!E4)</f>
        <v/>
      </c>
      <c r="F4" s="112">
        <f>'National currencies'!F4</f>
        <v>0</v>
      </c>
      <c r="G4" s="113">
        <f>'National currencies'!G4</f>
        <v>0</v>
      </c>
      <c r="H4" s="112">
        <f>'National currencies'!H4</f>
        <v>0</v>
      </c>
      <c r="I4" s="114"/>
      <c r="J4" s="114"/>
      <c r="K4" s="115"/>
      <c r="L4" s="220"/>
      <c r="M4" s="116" t="str">
        <f>IF(ISBLANK(L4),"",IF((N2+O2)&gt;0,0,M2))</f>
        <v/>
      </c>
      <c r="N4" s="117"/>
      <c r="O4" s="118"/>
      <c r="P4" s="101" t="str">
        <f>IF(ISBLANK(L4),"",IF(M4=0,0,IF(L4=1,F4+(M4-1)*H4,(F4+(L4-1)*G4)+(H4+(L4-1)*G4)*(M4-1))))</f>
        <v/>
      </c>
      <c r="Q4" s="102"/>
      <c r="R4" s="103"/>
      <c r="S4" s="119" t="str">
        <f>IF(ISBLANK(L4),"",IF(M4=0,"",P4))</f>
        <v/>
      </c>
    </row>
    <row r="5" spans="1:19" x14ac:dyDescent="0.4">
      <c r="A5" s="45" t="s">
        <v>38</v>
      </c>
      <c r="B5" s="46" t="s">
        <v>109</v>
      </c>
      <c r="C5" s="46" t="s">
        <v>1</v>
      </c>
      <c r="D5" s="47"/>
      <c r="E5" s="67" t="str">
        <f>IF('National currencies'!E5="","",'National currencies'!E5)</f>
        <v/>
      </c>
      <c r="F5" s="66">
        <f>'National currencies'!F5</f>
        <v>0</v>
      </c>
      <c r="G5" s="65">
        <f>'National currencies'!G5</f>
        <v>0</v>
      </c>
      <c r="H5" s="66">
        <f>'National currencies'!H5</f>
        <v>0</v>
      </c>
      <c r="I5" s="48">
        <f>'National currencies'!I5</f>
        <v>0</v>
      </c>
      <c r="J5" s="48"/>
      <c r="K5" s="61"/>
      <c r="L5" s="220"/>
      <c r="M5" s="62" t="str">
        <f>IF(ISBLANK(L5),"",IF(O2&gt;0,0,IF(N2=0,0,M2)))</f>
        <v/>
      </c>
      <c r="N5" s="49" t="str">
        <f>IF(ISBLANK(L5),"",IF(O2&gt;0,0,N2))</f>
        <v/>
      </c>
      <c r="O5" s="63"/>
      <c r="P5" s="69" t="str">
        <f>IF(ISBLANK(L5),"",IF(M5=0,0,IF(L5=1,H5+(M5-1)*H5,(H5+(L5-1)*G4)+(H5+(L5-1)*G4)*(M5-1))))</f>
        <v/>
      </c>
      <c r="Q5" s="70" t="str">
        <f>IF(ISBLANK(L5),"",IF(N5=0,0,IF(L5=1,F5+(N5-1)*I5,(F5+(L5-1)*G5)+(I5+(L5-1)*G5)*(N5-1))))</f>
        <v/>
      </c>
      <c r="R5" s="71"/>
      <c r="S5" s="64" t="str">
        <f>IF(ISBLANK(L5),"",IF(N5=0,"",P5+Q5))</f>
        <v/>
      </c>
    </row>
    <row r="6" spans="1:19" x14ac:dyDescent="0.4">
      <c r="A6" s="45" t="s">
        <v>38</v>
      </c>
      <c r="B6" s="46" t="s">
        <v>110</v>
      </c>
      <c r="C6" s="46" t="s">
        <v>1</v>
      </c>
      <c r="D6" s="47"/>
      <c r="E6" s="67" t="str">
        <f>IF('National currencies'!E6="","",'National currencies'!E6)</f>
        <v/>
      </c>
      <c r="F6" s="66">
        <f>'National currencies'!F6</f>
        <v>0</v>
      </c>
      <c r="G6" s="65">
        <f>'National currencies'!G6</f>
        <v>0</v>
      </c>
      <c r="H6" s="66">
        <f>'National currencies'!H6</f>
        <v>0</v>
      </c>
      <c r="I6" s="48">
        <f>'National currencies'!I6</f>
        <v>0</v>
      </c>
      <c r="J6" s="48">
        <f>'National currencies'!J6</f>
        <v>0</v>
      </c>
      <c r="K6" s="61"/>
      <c r="L6" s="220"/>
      <c r="M6" s="62" t="str">
        <f>IF(ISBLANK(L6),"",IF(O2=0,0,M2))</f>
        <v/>
      </c>
      <c r="N6" s="49" t="str">
        <f>IF(ISBLANK(L6),"",IF(O2=0,0,N2))</f>
        <v/>
      </c>
      <c r="O6" s="63" t="str">
        <f>IF(ISBLANK(L6),"",O2)</f>
        <v/>
      </c>
      <c r="P6" s="69" t="str">
        <f>IF(ISBLANK(L6),"",IF(M6=0,0,IF(L6=1,H6+(M6-1)*H6,(H6+(L6-1)*G4)+(H6+(L6-1)*G4)*(M6-1))))</f>
        <v/>
      </c>
      <c r="Q6" s="70" t="str">
        <f>IF(ISBLANK(L6),"",IF(N6=0,0,IF(L6=1,I6+(N6-1)*I6,(I6+(L6-1)*G5)+(I6+(L6-1)*G5)*(N6-1))))</f>
        <v/>
      </c>
      <c r="R6" s="71" t="str">
        <f>IF(ISBLANK(L6),"",IF(O6=0,0,IF(L6=1,F6+(O6-1)*J6,(F6+(L6-1)*G6)+(J6+(L6-1)*G6)*(O6-1))))</f>
        <v/>
      </c>
      <c r="S6" s="64" t="str">
        <f>IF(ISBLANK(L6),"",IF(O6=0,"",P6+Q6+R6))</f>
        <v/>
      </c>
    </row>
    <row r="7" spans="1:19" x14ac:dyDescent="0.4">
      <c r="A7" s="45" t="s">
        <v>38</v>
      </c>
      <c r="B7" s="46" t="s">
        <v>108</v>
      </c>
      <c r="C7" s="46" t="s">
        <v>2</v>
      </c>
      <c r="D7" s="47"/>
      <c r="E7" s="67" t="str">
        <f>IF('National currencies'!E7="","",'National currencies'!E7)</f>
        <v/>
      </c>
      <c r="F7" s="66">
        <f>'National currencies'!F7</f>
        <v>0</v>
      </c>
      <c r="G7" s="65">
        <f>'National currencies'!G7</f>
        <v>0</v>
      </c>
      <c r="H7" s="66">
        <f>'National currencies'!H7</f>
        <v>0</v>
      </c>
      <c r="I7" s="48"/>
      <c r="J7" s="48"/>
      <c r="K7" s="61"/>
      <c r="L7" s="220"/>
      <c r="M7" s="62" t="str">
        <f>IF(ISBLANK(L7),"",IF((N2+O2)&gt;0,0,M2))</f>
        <v/>
      </c>
      <c r="N7" s="49"/>
      <c r="O7" s="63"/>
      <c r="P7" s="69" t="str">
        <f>IF(ISBLANK(L7),"",IF(M7=0,0,IF(L7=1,F7+(M7-1)*H7,(F7+(L7-1)*G7)+(H7+(L7-1)*G7)*(M7-1))))</f>
        <v/>
      </c>
      <c r="Q7" s="70"/>
      <c r="R7" s="71"/>
      <c r="S7" s="64" t="str">
        <f>IF(ISBLANK(L7),"",IF(M7=0,"",P7))</f>
        <v/>
      </c>
    </row>
    <row r="8" spans="1:19" x14ac:dyDescent="0.4">
      <c r="A8" s="45" t="s">
        <v>38</v>
      </c>
      <c r="B8" s="46" t="s">
        <v>109</v>
      </c>
      <c r="C8" s="46" t="s">
        <v>2</v>
      </c>
      <c r="D8" s="50"/>
      <c r="E8" s="67" t="str">
        <f>IF('National currencies'!E8="","",'National currencies'!E8)</f>
        <v/>
      </c>
      <c r="F8" s="66">
        <f>'National currencies'!F8</f>
        <v>0</v>
      </c>
      <c r="G8" s="65">
        <f>'National currencies'!G8</f>
        <v>0</v>
      </c>
      <c r="H8" s="66">
        <f>'National currencies'!H8</f>
        <v>0</v>
      </c>
      <c r="I8" s="48">
        <f>'National currencies'!I8</f>
        <v>0</v>
      </c>
      <c r="J8" s="48"/>
      <c r="K8" s="61"/>
      <c r="L8" s="220"/>
      <c r="M8" s="62" t="str">
        <f>IF(ISBLANK(L8),"",IF(O2&gt;0,0,IF(N2=0,0,M2)))</f>
        <v/>
      </c>
      <c r="N8" s="49" t="str">
        <f>IF(ISBLANK(L8),"",IF(O2&gt;0,0,N2))</f>
        <v/>
      </c>
      <c r="O8" s="63"/>
      <c r="P8" s="69" t="str">
        <f>IF(ISBLANK(L8),"",IF(M8=0,0,IF(L8=1,H8+(M8-1)*H8,(H8+(L8-1)*G7)+(H8+(L8-1)*G7)*(M8-1))))</f>
        <v/>
      </c>
      <c r="Q8" s="70" t="str">
        <f>IF(ISBLANK(L8),"",IF(N8=0,0,IF(L8=1,F8+(N8-1)*I8,(F8+(L8-1)*G8)+(I8+(L8-1)*G8)*(N8-1))))</f>
        <v/>
      </c>
      <c r="R8" s="71"/>
      <c r="S8" s="64" t="str">
        <f>IF(ISBLANK(L8),"",IF(N8=0,"",P8+Q8))</f>
        <v/>
      </c>
    </row>
    <row r="9" spans="1:19" x14ac:dyDescent="0.4">
      <c r="A9" s="45" t="s">
        <v>38</v>
      </c>
      <c r="B9" s="46" t="s">
        <v>110</v>
      </c>
      <c r="C9" s="46" t="s">
        <v>2</v>
      </c>
      <c r="D9" s="47"/>
      <c r="E9" s="67" t="str">
        <f>IF('National currencies'!E9="","",'National currencies'!E9)</f>
        <v/>
      </c>
      <c r="F9" s="66">
        <f>'National currencies'!F9</f>
        <v>0</v>
      </c>
      <c r="G9" s="65">
        <f>'National currencies'!G9</f>
        <v>0</v>
      </c>
      <c r="H9" s="66">
        <f>'National currencies'!H9</f>
        <v>0</v>
      </c>
      <c r="I9" s="48">
        <f>'National currencies'!I9</f>
        <v>0</v>
      </c>
      <c r="J9" s="48">
        <f>'National currencies'!J9</f>
        <v>0</v>
      </c>
      <c r="K9" s="61"/>
      <c r="L9" s="220"/>
      <c r="M9" s="62" t="str">
        <f>IF(ISBLANK(L9),"",IF(O2=0,0,M2))</f>
        <v/>
      </c>
      <c r="N9" s="49" t="str">
        <f>IF(ISBLANK(L9),"",IF(O2=0,0,N2))</f>
        <v/>
      </c>
      <c r="O9" s="63" t="str">
        <f>IF(ISBLANK(L9),"",O2)</f>
        <v/>
      </c>
      <c r="P9" s="69" t="str">
        <f>IF(ISBLANK(L9),"",IF(M9=0,0,IF(L9=1,H9+(M9-1)*H9,(H9+(L9-1)*G7)+(H9+(L9-1)*G7)*(M9-1))))</f>
        <v/>
      </c>
      <c r="Q9" s="70" t="str">
        <f>IF(ISBLANK(L9),"",IF(N9=0,0,IF(L9=1,I9+(N9-1)*I9,(I9+(L9-1)*G8)+(I9+(L9-1)*G8)*(N9-1))))</f>
        <v/>
      </c>
      <c r="R9" s="71" t="str">
        <f>IF(ISBLANK(L9),"",IF(O9=0,0,IF(L9=1,F9+(O9-1)*J9,(F9+(L9-1)*G9)+(J9+(L9-1)*G9)*(O9-1))))</f>
        <v/>
      </c>
      <c r="S9" s="64" t="str">
        <f>IF(ISBLANK(L9),"",IF(O9=0,"",P9+Q9+R9))</f>
        <v/>
      </c>
    </row>
    <row r="10" spans="1:19" x14ac:dyDescent="0.4">
      <c r="A10" s="45" t="s">
        <v>38</v>
      </c>
      <c r="B10" s="46" t="s">
        <v>108</v>
      </c>
      <c r="C10" s="46" t="s">
        <v>0</v>
      </c>
      <c r="D10" s="47"/>
      <c r="E10" s="67" t="str">
        <f>IF('National currencies'!E10="","",'National currencies'!E10)</f>
        <v/>
      </c>
      <c r="F10" s="66">
        <f>'National currencies'!F10</f>
        <v>0</v>
      </c>
      <c r="G10" s="65">
        <f>'National currencies'!G10</f>
        <v>0</v>
      </c>
      <c r="H10" s="66">
        <f>'National currencies'!H10</f>
        <v>0</v>
      </c>
      <c r="I10" s="48"/>
      <c r="J10" s="48"/>
      <c r="K10" s="61"/>
      <c r="L10" s="220"/>
      <c r="M10" s="62" t="str">
        <f>IF(ISBLANK(L10),"",IF((N2+O2)&gt;0,0,M2))</f>
        <v/>
      </c>
      <c r="N10" s="49"/>
      <c r="O10" s="63"/>
      <c r="P10" s="69" t="str">
        <f>IF(ISBLANK(L10),"",IF(M10=0,0,IF(L10=1,F10+(M10-1)*H10,(F10+(L10-1)*G10)+(H10+(L10-1)*G10)*(M10-1))))</f>
        <v/>
      </c>
      <c r="Q10" s="70"/>
      <c r="R10" s="71"/>
      <c r="S10" s="64" t="str">
        <f>IF(ISBLANK(L10),"",IF(M10=0,"",P10))</f>
        <v/>
      </c>
    </row>
    <row r="11" spans="1:19" x14ac:dyDescent="0.4">
      <c r="A11" s="45" t="s">
        <v>38</v>
      </c>
      <c r="B11" s="46" t="s">
        <v>109</v>
      </c>
      <c r="C11" s="46" t="s">
        <v>0</v>
      </c>
      <c r="D11" s="47"/>
      <c r="E11" s="67" t="str">
        <f>IF('National currencies'!E11="","",'National currencies'!E11)</f>
        <v/>
      </c>
      <c r="F11" s="66">
        <f>'National currencies'!F11</f>
        <v>0</v>
      </c>
      <c r="G11" s="65">
        <f>'National currencies'!G11</f>
        <v>0</v>
      </c>
      <c r="H11" s="66">
        <f>'National currencies'!H11</f>
        <v>0</v>
      </c>
      <c r="I11" s="48">
        <f>'National currencies'!I11</f>
        <v>0</v>
      </c>
      <c r="J11" s="48"/>
      <c r="K11" s="61"/>
      <c r="L11" s="220"/>
      <c r="M11" s="62" t="str">
        <f>IF(ISBLANK(L11),"",IF(O2&gt;0,0,IF(N2=0,0,M2)))</f>
        <v/>
      </c>
      <c r="N11" s="49" t="str">
        <f>IF(ISBLANK(L11),"",IF(O2&gt;0,0,N2))</f>
        <v/>
      </c>
      <c r="O11" s="63"/>
      <c r="P11" s="69" t="str">
        <f>IF(ISBLANK(L11),"",IF(M11=0,0,IF(L11=1,H11+(M11-1)*H11,(H11+(L11-1)*G10)+(H11+(L11-1)*G10)*(M11-1))))</f>
        <v/>
      </c>
      <c r="Q11" s="70" t="str">
        <f>IF(ISBLANK(L11),"",IF(N11=0,0,IF(L11=1,F11+(N11-1)*I11,(F11+(L11-1)*G11)+(I11+(L11-1)*G11)*(N11-1))))</f>
        <v/>
      </c>
      <c r="R11" s="71"/>
      <c r="S11" s="64" t="str">
        <f>IF(ISBLANK(L11),"",IF(N11=0,"",P11+Q11))</f>
        <v/>
      </c>
    </row>
    <row r="12" spans="1:19" x14ac:dyDescent="0.4">
      <c r="A12" s="45" t="s">
        <v>38</v>
      </c>
      <c r="B12" s="46" t="s">
        <v>110</v>
      </c>
      <c r="C12" s="46" t="s">
        <v>0</v>
      </c>
      <c r="D12" s="47"/>
      <c r="E12" s="67" t="str">
        <f>IF('National currencies'!E12="","",'National currencies'!E12)</f>
        <v/>
      </c>
      <c r="F12" s="66">
        <f>'National currencies'!F12</f>
        <v>0</v>
      </c>
      <c r="G12" s="65">
        <f>'National currencies'!G12</f>
        <v>0</v>
      </c>
      <c r="H12" s="66">
        <f>'National currencies'!H12</f>
        <v>0</v>
      </c>
      <c r="I12" s="48">
        <f>'National currencies'!I12</f>
        <v>0</v>
      </c>
      <c r="J12" s="48">
        <f>'National currencies'!J12</f>
        <v>0</v>
      </c>
      <c r="K12" s="61"/>
      <c r="L12" s="220"/>
      <c r="M12" s="62" t="str">
        <f>IF(ISBLANK(L12),"",IF(O2=0,0,M2))</f>
        <v/>
      </c>
      <c r="N12" s="49" t="str">
        <f>IF(ISBLANK(L12),"",IF(O2=0,0,N2))</f>
        <v/>
      </c>
      <c r="O12" s="63" t="str">
        <f>IF(ISBLANK(L12),"",O2)</f>
        <v/>
      </c>
      <c r="P12" s="69" t="str">
        <f>IF(ISBLANK(L12),"",IF(M12=0,0,IF(L12=1,H12+(M12-1)*H12,(H12+(L12-1)*G10)+(H12+(L12-1)*G10)*(M12-1))))</f>
        <v/>
      </c>
      <c r="Q12" s="70" t="str">
        <f>IF(ISBLANK(L12),"",IF(N12=0,0,IF(L12=1,I12+(N12-1)*I12,(I12+(L12-1)*G11)+(I12+(L12-1)*G11)*(N12-1))))</f>
        <v/>
      </c>
      <c r="R12" s="71" t="str">
        <f>IF(ISBLANK(L12),"",IF(O12=0,0,IF(L12=1,F12+(O12-1)*J12,(F12+(L12-1)*G12)+(J12+(L12-1)*G12)*(O12-1))))</f>
        <v/>
      </c>
      <c r="S12" s="64" t="str">
        <f>IF(ISBLANK(L12),"",IF(O12=0,"",P12+Q12+R12))</f>
        <v/>
      </c>
    </row>
    <row r="13" spans="1:19" x14ac:dyDescent="0.4">
      <c r="A13" s="45" t="s">
        <v>6</v>
      </c>
      <c r="B13" s="46" t="s">
        <v>108</v>
      </c>
      <c r="C13" s="46" t="s">
        <v>1</v>
      </c>
      <c r="D13" s="47"/>
      <c r="E13" s="67" t="str">
        <f>IF('National currencies'!E13="","",'National currencies'!E13)</f>
        <v/>
      </c>
      <c r="F13" s="66">
        <f>'National currencies'!F13</f>
        <v>1478.27</v>
      </c>
      <c r="G13" s="65">
        <f>'National currencies'!G13</f>
        <v>0</v>
      </c>
      <c r="H13" s="66"/>
      <c r="I13" s="48"/>
      <c r="J13" s="48"/>
      <c r="K13" s="61">
        <f>'National currencies'!K13</f>
        <v>1478.27</v>
      </c>
      <c r="L13" s="220"/>
      <c r="M13" s="62" t="str">
        <f>IF(ISBLANK(L13),"",IF((N2+O2)&gt;0,0,M2))</f>
        <v/>
      </c>
      <c r="N13" s="49"/>
      <c r="O13" s="63"/>
      <c r="P13" s="69" t="str">
        <f>IF(ISBLANK(L13),"",IF(M13=0,0,IF(M13&gt;1,K13,F13)))</f>
        <v/>
      </c>
      <c r="Q13" s="70"/>
      <c r="R13" s="71"/>
      <c r="S13" s="64" t="str">
        <f>IF(ISBLANK(L13),"",IF(M13=0,"",IF(M13&gt;1,K13,F13)))</f>
        <v/>
      </c>
    </row>
    <row r="14" spans="1:19" x14ac:dyDescent="0.4">
      <c r="A14" s="45" t="s">
        <v>6</v>
      </c>
      <c r="B14" s="46" t="s">
        <v>108</v>
      </c>
      <c r="C14" s="46" t="s">
        <v>1</v>
      </c>
      <c r="D14" s="47" t="s">
        <v>9</v>
      </c>
      <c r="E14" s="67" t="str">
        <f>IF('National currencies'!E14="","",'National currencies'!E14)</f>
        <v/>
      </c>
      <c r="F14" s="66">
        <f>'National currencies'!F14</f>
        <v>865.83</v>
      </c>
      <c r="G14" s="65">
        <f>'National currencies'!G14</f>
        <v>0</v>
      </c>
      <c r="H14" s="66"/>
      <c r="I14" s="48"/>
      <c r="J14" s="48"/>
      <c r="K14" s="61">
        <f>'National currencies'!K14</f>
        <v>865.83</v>
      </c>
      <c r="L14" s="220"/>
      <c r="M14" s="62" t="str">
        <f>IF(ISBLANK(L14),"",IF((N2+O2)&gt;0,0,M2))</f>
        <v/>
      </c>
      <c r="N14" s="49"/>
      <c r="O14" s="63"/>
      <c r="P14" s="69" t="str">
        <f>IF(ISBLANK(L14),"",IF(M14=0,0,IF(M14&gt;1,K14,F14)))</f>
        <v/>
      </c>
      <c r="Q14" s="70"/>
      <c r="R14" s="71"/>
      <c r="S14" s="64" t="str">
        <f>IF(ISBLANK(L14),"",IF(M14=0,"",IF(M14&gt;1,K14,F14)))</f>
        <v/>
      </c>
    </row>
    <row r="15" spans="1:19" x14ac:dyDescent="0.4">
      <c r="A15" s="45" t="s">
        <v>6</v>
      </c>
      <c r="B15" s="46" t="s">
        <v>109</v>
      </c>
      <c r="C15" s="46" t="s">
        <v>1</v>
      </c>
      <c r="D15" s="47"/>
      <c r="E15" s="67" t="str">
        <f>IF('National currencies'!E15="","",'National currencies'!E15)</f>
        <v/>
      </c>
      <c r="F15" s="66">
        <f>'National currencies'!F15</f>
        <v>2919.57</v>
      </c>
      <c r="G15" s="65">
        <f>'National currencies'!G15</f>
        <v>0</v>
      </c>
      <c r="H15" s="66"/>
      <c r="I15" s="48"/>
      <c r="J15" s="48"/>
      <c r="K15" s="61">
        <f>'National currencies'!K15</f>
        <v>2919.57</v>
      </c>
      <c r="L15" s="220"/>
      <c r="M15" s="62" t="str">
        <f>IF(ISBLANK(L15),"",IF(O2&gt;0,0,IF(N2=0,0,M2)))</f>
        <v/>
      </c>
      <c r="N15" s="49" t="str">
        <f>IF(ISBLANK(L15),"",IF(O2&gt;0,0,N2))</f>
        <v/>
      </c>
      <c r="O15" s="63"/>
      <c r="P15" s="69"/>
      <c r="Q15" s="70" t="str">
        <f>IF(ISBLANK(L15),"",IF(N15=0,0,IF(N15&gt;1,K15,F15)))</f>
        <v/>
      </c>
      <c r="R15" s="71"/>
      <c r="S15" s="64" t="str">
        <f>IF(ISBLANK(L15),"",IF(N15=0,"",IF(N15&gt;1,K15,F15)))</f>
        <v/>
      </c>
    </row>
    <row r="16" spans="1:19" x14ac:dyDescent="0.4">
      <c r="A16" s="45" t="s">
        <v>6</v>
      </c>
      <c r="B16" s="46" t="s">
        <v>109</v>
      </c>
      <c r="C16" s="46" t="s">
        <v>1</v>
      </c>
      <c r="D16" s="47" t="s">
        <v>9</v>
      </c>
      <c r="E16" s="67" t="str">
        <f>IF('National currencies'!E16="","",'National currencies'!E16)</f>
        <v/>
      </c>
      <c r="F16" s="66">
        <f>'National currencies'!F16</f>
        <v>2788.62</v>
      </c>
      <c r="G16" s="65">
        <f>'National currencies'!G16</f>
        <v>0</v>
      </c>
      <c r="H16" s="66"/>
      <c r="I16" s="48"/>
      <c r="J16" s="48"/>
      <c r="K16" s="61">
        <f>'National currencies'!K16</f>
        <v>2788.62</v>
      </c>
      <c r="L16" s="220"/>
      <c r="M16" s="62" t="str">
        <f>IF(ISBLANK(L16),"",IF(O2&gt;0,0,IF(N2=0,0,M2)))</f>
        <v/>
      </c>
      <c r="N16" s="49" t="str">
        <f>IF(ISBLANK(L16),"",IF(O2&gt;0,0,N2))</f>
        <v/>
      </c>
      <c r="O16" s="63"/>
      <c r="P16" s="69"/>
      <c r="Q16" s="70" t="str">
        <f>IF(ISBLANK(L16),"",IF(N16=0,0,IF(N16&gt;1,K16,F16)))</f>
        <v/>
      </c>
      <c r="R16" s="71"/>
      <c r="S16" s="64" t="str">
        <f>IF(ISBLANK(L16),"",IF(N16=0,"",IF(N16&gt;1,K16,F16)))</f>
        <v/>
      </c>
    </row>
    <row r="17" spans="1:19" x14ac:dyDescent="0.4">
      <c r="A17" s="45" t="s">
        <v>6</v>
      </c>
      <c r="B17" s="46" t="s">
        <v>110</v>
      </c>
      <c r="C17" s="46" t="s">
        <v>1</v>
      </c>
      <c r="D17" s="47" t="s">
        <v>7</v>
      </c>
      <c r="E17" s="67" t="str">
        <f>IF('National currencies'!E17="","",'National currencies'!E17)</f>
        <v/>
      </c>
      <c r="F17" s="66">
        <f>'National currencies'!F17</f>
        <v>8391.06</v>
      </c>
      <c r="G17" s="65">
        <f>'National currencies'!G17</f>
        <v>0</v>
      </c>
      <c r="H17" s="66"/>
      <c r="I17" s="48"/>
      <c r="J17" s="48"/>
      <c r="K17" s="61">
        <f>'National currencies'!K17</f>
        <v>8391.06</v>
      </c>
      <c r="L17" s="220"/>
      <c r="M17" s="62" t="str">
        <f>IF(ISBLANK(L17),"",IF(O2=0,0,M2))</f>
        <v/>
      </c>
      <c r="N17" s="49" t="str">
        <f>IF(ISBLANK(L17),"",IF(O2=0,0,N2))</f>
        <v/>
      </c>
      <c r="O17" s="63" t="str">
        <f>IF(ISBLANK(L17),"",O2)</f>
        <v/>
      </c>
      <c r="P17" s="69"/>
      <c r="Q17" s="70"/>
      <c r="R17" s="71" t="str">
        <f>IF(ISBLANK(L17),"",IF(O17=0,0,IF(O17&gt;1,K17,F17)))</f>
        <v/>
      </c>
      <c r="S17" s="64" t="str">
        <f>IF(ISBLANK(L17),"",IF(O17=0,"",IF(O17&gt;1,K17,F17)))</f>
        <v/>
      </c>
    </row>
    <row r="18" spans="1:19" x14ac:dyDescent="0.4">
      <c r="A18" s="45" t="s">
        <v>6</v>
      </c>
      <c r="B18" s="46" t="s">
        <v>110</v>
      </c>
      <c r="C18" s="46" t="s">
        <v>1</v>
      </c>
      <c r="D18" s="47" t="s">
        <v>104</v>
      </c>
      <c r="E18" s="67" t="str">
        <f>IF('National currencies'!E18="","",'National currencies'!E18)</f>
        <v/>
      </c>
      <c r="F18" s="66">
        <f>'National currencies'!F18</f>
        <v>7832.83</v>
      </c>
      <c r="G18" s="65">
        <f>'National currencies'!G18</f>
        <v>0</v>
      </c>
      <c r="H18" s="66"/>
      <c r="I18" s="48"/>
      <c r="J18" s="48"/>
      <c r="K18" s="61">
        <f>'National currencies'!K18</f>
        <v>7832.83</v>
      </c>
      <c r="L18" s="220"/>
      <c r="M18" s="62" t="str">
        <f>IF(ISBLANK(L18),"",IF(O2=0,0,M2))</f>
        <v/>
      </c>
      <c r="N18" s="49" t="str">
        <f>IF(ISBLANK(L18),"",IF(O2=0,0,N2))</f>
        <v/>
      </c>
      <c r="O18" s="63" t="str">
        <f>IF(ISBLANK(L18),"",O2)</f>
        <v/>
      </c>
      <c r="P18" s="69"/>
      <c r="Q18" s="70"/>
      <c r="R18" s="71" t="str">
        <f>IF(ISBLANK(L18),"",IF(O18=0,0,IF(O18&gt;1,K18,F18)))</f>
        <v/>
      </c>
      <c r="S18" s="64" t="str">
        <f>IF(ISBLANK(L18),"",IF(O18=0,"",IF(O18&gt;1,K18,F18)))</f>
        <v/>
      </c>
    </row>
    <row r="19" spans="1:19" x14ac:dyDescent="0.4">
      <c r="A19" s="45" t="s">
        <v>6</v>
      </c>
      <c r="B19" s="46" t="s">
        <v>110</v>
      </c>
      <c r="C19" s="46" t="s">
        <v>1</v>
      </c>
      <c r="D19" s="47" t="s">
        <v>8</v>
      </c>
      <c r="E19" s="67" t="str">
        <f>IF('National currencies'!E19="","",'National currencies'!E19)</f>
        <v/>
      </c>
      <c r="F19" s="66">
        <f>'National currencies'!F19</f>
        <v>13305.01</v>
      </c>
      <c r="G19" s="65">
        <f>'National currencies'!G19</f>
        <v>0</v>
      </c>
      <c r="H19" s="66"/>
      <c r="I19" s="48"/>
      <c r="J19" s="48"/>
      <c r="K19" s="61">
        <f>'National currencies'!K19</f>
        <v>13305.01</v>
      </c>
      <c r="L19" s="220"/>
      <c r="M19" s="62" t="str">
        <f>IF(ISBLANK(L19),"",IF(O2=0,0,M2))</f>
        <v/>
      </c>
      <c r="N19" s="49" t="str">
        <f>IF(ISBLANK(L19),"",IF(O2=0,0,N2))</f>
        <v/>
      </c>
      <c r="O19" s="63" t="str">
        <f>IF(ISBLANK(L19),"",O2)</f>
        <v/>
      </c>
      <c r="P19" s="69"/>
      <c r="Q19" s="70"/>
      <c r="R19" s="71" t="str">
        <f>IF(ISBLANK(L19),"",IF(O19=0,0,IF(O19&gt;1,K19,F19)))</f>
        <v/>
      </c>
      <c r="S19" s="64" t="str">
        <f>IF(ISBLANK(L19),"",IF(O19=0,"",IF(O19&gt;1,K19,F19)))</f>
        <v/>
      </c>
    </row>
    <row r="20" spans="1:19" x14ac:dyDescent="0.4">
      <c r="A20" s="45" t="s">
        <v>6</v>
      </c>
      <c r="B20" s="46" t="s">
        <v>110</v>
      </c>
      <c r="C20" s="46" t="s">
        <v>1</v>
      </c>
      <c r="D20" s="47" t="s">
        <v>105</v>
      </c>
      <c r="E20" s="67" t="str">
        <f>IF('National currencies'!E20="","",'National currencies'!E20)</f>
        <v/>
      </c>
      <c r="F20" s="66">
        <f>'National currencies'!F20</f>
        <v>13894.6</v>
      </c>
      <c r="G20" s="65">
        <f>'National currencies'!G20</f>
        <v>0</v>
      </c>
      <c r="H20" s="66"/>
      <c r="I20" s="48"/>
      <c r="J20" s="48"/>
      <c r="K20" s="61">
        <f>'National currencies'!K20</f>
        <v>13894.6</v>
      </c>
      <c r="L20" s="220"/>
      <c r="M20" s="62" t="str">
        <f>IF(ISBLANK(L20),"",IF(O2=0,0,M2))</f>
        <v/>
      </c>
      <c r="N20" s="49" t="str">
        <f>IF(ISBLANK(L20),"",IF(O2=0,0,N2))</f>
        <v/>
      </c>
      <c r="O20" s="63" t="str">
        <f>IF(ISBLANK(L20),"",O2)</f>
        <v/>
      </c>
      <c r="P20" s="69"/>
      <c r="Q20" s="70"/>
      <c r="R20" s="71" t="str">
        <f>IF(ISBLANK(L20),"",IF(O20=0,0,IF(O20&gt;1,K20,F20)))</f>
        <v/>
      </c>
      <c r="S20" s="64" t="str">
        <f>IF(ISBLANK(L20),"",IF(O20=0,"",IF(O20&gt;1,K20,F20)))</f>
        <v/>
      </c>
    </row>
    <row r="21" spans="1:19" x14ac:dyDescent="0.4">
      <c r="A21" s="45" t="s">
        <v>6</v>
      </c>
      <c r="B21" s="46" t="s">
        <v>108</v>
      </c>
      <c r="C21" s="46" t="s">
        <v>2</v>
      </c>
      <c r="D21" s="47"/>
      <c r="E21" s="67" t="str">
        <f>IF('National currencies'!E21="","",'National currencies'!E21)</f>
        <v/>
      </c>
      <c r="F21" s="66">
        <f>'National currencies'!F21</f>
        <v>537.5</v>
      </c>
      <c r="G21" s="65">
        <f>'National currencies'!G21</f>
        <v>0</v>
      </c>
      <c r="H21" s="66"/>
      <c r="I21" s="48"/>
      <c r="J21" s="48"/>
      <c r="K21" s="61">
        <f>'National currencies'!K21</f>
        <v>537.5</v>
      </c>
      <c r="L21" s="220"/>
      <c r="M21" s="62" t="str">
        <f>IF(ISBLANK(L21),"",IF((N2+O2)&gt;0,0,M2))</f>
        <v/>
      </c>
      <c r="N21" s="49"/>
      <c r="O21" s="63"/>
      <c r="P21" s="69" t="str">
        <f>IF(ISBLANK(L21),"",IF(M21=0,0,IF(M21&gt;1,K21,F21)))</f>
        <v/>
      </c>
      <c r="Q21" s="70"/>
      <c r="R21" s="71"/>
      <c r="S21" s="64" t="str">
        <f>IF(ISBLANK(L21),"",IF(M21=0,"",IF(M21&gt;1,K21,F21)))</f>
        <v/>
      </c>
    </row>
    <row r="22" spans="1:19" x14ac:dyDescent="0.4">
      <c r="A22" s="45" t="s">
        <v>6</v>
      </c>
      <c r="B22" s="46" t="s">
        <v>108</v>
      </c>
      <c r="C22" s="46" t="s">
        <v>2</v>
      </c>
      <c r="D22" s="47" t="s">
        <v>9</v>
      </c>
      <c r="E22" s="67" t="str">
        <f>IF('National currencies'!E22="","",'National currencies'!E22)</f>
        <v/>
      </c>
      <c r="F22" s="66">
        <f>'National currencies'!F22</f>
        <v>617.91999999999996</v>
      </c>
      <c r="G22" s="65">
        <f>'National currencies'!G22</f>
        <v>0</v>
      </c>
      <c r="H22" s="66"/>
      <c r="I22" s="48"/>
      <c r="J22" s="48"/>
      <c r="K22" s="61">
        <f>'National currencies'!K22</f>
        <v>617.91999999999996</v>
      </c>
      <c r="L22" s="220"/>
      <c r="M22" s="62" t="str">
        <f>IF(ISBLANK(L22),"",IF((N2+O2)&gt;0,0,M2))</f>
        <v/>
      </c>
      <c r="N22" s="49"/>
      <c r="O22" s="63"/>
      <c r="P22" s="69" t="str">
        <f>IF(ISBLANK(L22),"",IF(M22=0,0,IF(M22&gt;1,K22,F22)))</f>
        <v/>
      </c>
      <c r="Q22" s="70"/>
      <c r="R22" s="71"/>
      <c r="S22" s="64" t="str">
        <f>IF(ISBLANK(L22),"",IF(M22=0,"",IF(M22&gt;1,K22,F22)))</f>
        <v/>
      </c>
    </row>
    <row r="23" spans="1:19" x14ac:dyDescent="0.4">
      <c r="A23" s="45" t="s">
        <v>6</v>
      </c>
      <c r="B23" s="46" t="s">
        <v>109</v>
      </c>
      <c r="C23" s="46" t="s">
        <v>2</v>
      </c>
      <c r="D23" s="47"/>
      <c r="E23" s="67" t="str">
        <f>IF('National currencies'!E23="","",'National currencies'!E23)</f>
        <v/>
      </c>
      <c r="F23" s="66">
        <f>'National currencies'!F23</f>
        <v>851.58</v>
      </c>
      <c r="G23" s="65">
        <f>'National currencies'!G23</f>
        <v>0</v>
      </c>
      <c r="H23" s="66"/>
      <c r="I23" s="48"/>
      <c r="J23" s="48"/>
      <c r="K23" s="61">
        <f>'National currencies'!K23</f>
        <v>851.58</v>
      </c>
      <c r="L23" s="220"/>
      <c r="M23" s="62" t="str">
        <f>IF(ISBLANK(L23),"",IF(O2&gt;0,0,IF(N2=0,0,M2)))</f>
        <v/>
      </c>
      <c r="N23" s="49" t="str">
        <f>IF(ISBLANK(L23),"",IF(O2&gt;0,0,N2))</f>
        <v/>
      </c>
      <c r="O23" s="63"/>
      <c r="P23" s="69"/>
      <c r="Q23" s="70" t="str">
        <f>IF(ISBLANK(L23),"",IF(N23=0,0,IF(N23&gt;1,K23,F23)))</f>
        <v/>
      </c>
      <c r="R23" s="71"/>
      <c r="S23" s="64" t="str">
        <f>IF(ISBLANK(L23),"",IF(N23=0,"",IF(N23&gt;1,K23,F23)))</f>
        <v/>
      </c>
    </row>
    <row r="24" spans="1:19" x14ac:dyDescent="0.4">
      <c r="A24" s="45" t="s">
        <v>6</v>
      </c>
      <c r="B24" s="46" t="s">
        <v>109</v>
      </c>
      <c r="C24" s="46" t="s">
        <v>2</v>
      </c>
      <c r="D24" s="47" t="s">
        <v>9</v>
      </c>
      <c r="E24" s="67" t="str">
        <f>IF('National currencies'!E24="","",'National currencies'!E24)</f>
        <v/>
      </c>
      <c r="F24" s="66">
        <f>'National currencies'!F24</f>
        <v>541.42999999999995</v>
      </c>
      <c r="G24" s="65">
        <f>'National currencies'!G24</f>
        <v>0</v>
      </c>
      <c r="H24" s="66"/>
      <c r="I24" s="48"/>
      <c r="J24" s="48"/>
      <c r="K24" s="61">
        <f>'National currencies'!K24</f>
        <v>541.42999999999995</v>
      </c>
      <c r="L24" s="220"/>
      <c r="M24" s="62" t="str">
        <f>IF(ISBLANK(L24),"",IF(O2&gt;0,0,IF(N2=0,0,M2)))</f>
        <v/>
      </c>
      <c r="N24" s="49" t="str">
        <f>IF(ISBLANK(L24),"",IF(O2&gt;0,0,N2))</f>
        <v/>
      </c>
      <c r="O24" s="63"/>
      <c r="P24" s="69"/>
      <c r="Q24" s="70" t="str">
        <f>IF(ISBLANK(L24),"",IF(N24=0,0,IF(N24&gt;1,K24,F24)))</f>
        <v/>
      </c>
      <c r="R24" s="71"/>
      <c r="S24" s="64" t="str">
        <f>IF(ISBLANK(L24),"",IF(N24=0,"",IF(N24&gt;1,K24,F24)))</f>
        <v/>
      </c>
    </row>
    <row r="25" spans="1:19" x14ac:dyDescent="0.4">
      <c r="A25" s="45" t="s">
        <v>6</v>
      </c>
      <c r="B25" s="46" t="s">
        <v>110</v>
      </c>
      <c r="C25" s="46" t="s">
        <v>2</v>
      </c>
      <c r="D25" s="47" t="s">
        <v>7</v>
      </c>
      <c r="E25" s="67" t="str">
        <f>IF('National currencies'!E25="","",'National currencies'!E25)</f>
        <v/>
      </c>
      <c r="F25" s="66">
        <f>'National currencies'!F25</f>
        <v>758.55</v>
      </c>
      <c r="G25" s="65">
        <f>'National currencies'!G25</f>
        <v>0</v>
      </c>
      <c r="H25" s="66"/>
      <c r="I25" s="48"/>
      <c r="J25" s="48"/>
      <c r="K25" s="61">
        <f>'National currencies'!K25</f>
        <v>758.55</v>
      </c>
      <c r="L25" s="220"/>
      <c r="M25" s="62" t="str">
        <f>IF(ISBLANK(L25),"",IF(O2=0,0,M2))</f>
        <v/>
      </c>
      <c r="N25" s="49" t="str">
        <f>IF(ISBLANK(L25),"",IF(O2=0,0,N2))</f>
        <v/>
      </c>
      <c r="O25" s="63" t="str">
        <f>IF(ISBLANK(L25),"",O2)</f>
        <v/>
      </c>
      <c r="P25" s="69"/>
      <c r="Q25" s="70"/>
      <c r="R25" s="71" t="str">
        <f>IF(ISBLANK(L25),"",IF(O25=0,0,IF(O25&gt;1,K25,F25)))</f>
        <v/>
      </c>
      <c r="S25" s="64" t="str">
        <f>IF(ISBLANK(L25),"",IF(O25=0,"",IF(O25&gt;1,K25,F25)))</f>
        <v/>
      </c>
    </row>
    <row r="26" spans="1:19" x14ac:dyDescent="0.4">
      <c r="A26" s="45" t="s">
        <v>6</v>
      </c>
      <c r="B26" s="46" t="s">
        <v>110</v>
      </c>
      <c r="C26" s="46" t="s">
        <v>2</v>
      </c>
      <c r="D26" s="47" t="s">
        <v>104</v>
      </c>
      <c r="E26" s="67" t="str">
        <f>IF('National currencies'!E26="","",'National currencies'!E26)</f>
        <v/>
      </c>
      <c r="F26" s="66">
        <f>'National currencies'!F26</f>
        <v>799.2</v>
      </c>
      <c r="G26" s="65">
        <f>'National currencies'!G26</f>
        <v>0</v>
      </c>
      <c r="H26" s="66"/>
      <c r="I26" s="48"/>
      <c r="J26" s="48"/>
      <c r="K26" s="61">
        <f>'National currencies'!K26</f>
        <v>799.2</v>
      </c>
      <c r="L26" s="220"/>
      <c r="M26" s="62" t="str">
        <f>IF(ISBLANK(L26),"",IF(O2=0,0,M2))</f>
        <v/>
      </c>
      <c r="N26" s="49" t="str">
        <f>IF(ISBLANK(L26),"",IF(O2=0,0,N2))</f>
        <v/>
      </c>
      <c r="O26" s="63" t="str">
        <f>IF(ISBLANK(L26),"",O2)</f>
        <v/>
      </c>
      <c r="P26" s="69"/>
      <c r="Q26" s="70"/>
      <c r="R26" s="71" t="str">
        <f>IF(ISBLANK(L26),"",IF(O26=0,0,IF(O26&gt;1,K26,F26)))</f>
        <v/>
      </c>
      <c r="S26" s="64" t="str">
        <f>IF(ISBLANK(L26),"",IF(O26=0,"",IF(O26&gt;1,K26,F26)))</f>
        <v/>
      </c>
    </row>
    <row r="27" spans="1:19" x14ac:dyDescent="0.4">
      <c r="A27" s="45" t="s">
        <v>6</v>
      </c>
      <c r="B27" s="46" t="s">
        <v>110</v>
      </c>
      <c r="C27" s="46" t="s">
        <v>2</v>
      </c>
      <c r="D27" s="47" t="s">
        <v>8</v>
      </c>
      <c r="E27" s="67" t="str">
        <f>IF('National currencies'!E27="","",'National currencies'!E27)</f>
        <v/>
      </c>
      <c r="F27" s="66">
        <f>'National currencies'!F27</f>
        <v>1718.56</v>
      </c>
      <c r="G27" s="65">
        <f>'National currencies'!G27</f>
        <v>0</v>
      </c>
      <c r="H27" s="66"/>
      <c r="I27" s="48"/>
      <c r="J27" s="48"/>
      <c r="K27" s="61">
        <f>'National currencies'!K27</f>
        <v>1718.56</v>
      </c>
      <c r="L27" s="220"/>
      <c r="M27" s="62" t="str">
        <f>IF(ISBLANK(L27),"",IF(O2=0,0,M2))</f>
        <v/>
      </c>
      <c r="N27" s="49" t="str">
        <f>IF(ISBLANK(L27),"",IF(O2=0,0,N2))</f>
        <v/>
      </c>
      <c r="O27" s="63" t="str">
        <f>IF(ISBLANK(L27),"",O2)</f>
        <v/>
      </c>
      <c r="P27" s="69"/>
      <c r="Q27" s="70"/>
      <c r="R27" s="71" t="str">
        <f>IF(ISBLANK(L27),"",IF(O27=0,0,IF(O27&gt;1,K27,F27)))</f>
        <v/>
      </c>
      <c r="S27" s="64" t="str">
        <f>IF(ISBLANK(L27),"",IF(O27=0,"",IF(O27&gt;1,K27,F27)))</f>
        <v/>
      </c>
    </row>
    <row r="28" spans="1:19" x14ac:dyDescent="0.4">
      <c r="A28" s="45" t="s">
        <v>6</v>
      </c>
      <c r="B28" s="46" t="s">
        <v>110</v>
      </c>
      <c r="C28" s="46" t="s">
        <v>2</v>
      </c>
      <c r="D28" s="47" t="s">
        <v>105</v>
      </c>
      <c r="E28" s="67" t="str">
        <f>IF('National currencies'!E28="","",'National currencies'!E28)</f>
        <v/>
      </c>
      <c r="F28" s="66">
        <f>'National currencies'!F28</f>
        <v>1943.71</v>
      </c>
      <c r="G28" s="65">
        <f>'National currencies'!G28</f>
        <v>0</v>
      </c>
      <c r="H28" s="66"/>
      <c r="I28" s="48"/>
      <c r="J28" s="48"/>
      <c r="K28" s="61">
        <f>'National currencies'!K28</f>
        <v>1943.71</v>
      </c>
      <c r="L28" s="220"/>
      <c r="M28" s="62" t="str">
        <f>IF(ISBLANK(L28),"",IF(O2=0,0,M2))</f>
        <v/>
      </c>
      <c r="N28" s="49" t="str">
        <f>IF(ISBLANK(L28),"",IF(O2=0,0,N2))</f>
        <v/>
      </c>
      <c r="O28" s="63" t="str">
        <f>IF(ISBLANK(L28),"",O2)</f>
        <v/>
      </c>
      <c r="P28" s="69"/>
      <c r="Q28" s="70"/>
      <c r="R28" s="71" t="str">
        <f>IF(ISBLANK(L28),"",IF(O28=0,0,IF(O28&gt;1,K28,F28)))</f>
        <v/>
      </c>
      <c r="S28" s="64" t="str">
        <f>IF(ISBLANK(L28),"",IF(O28=0,"",IF(O28&gt;1,K28,F28)))</f>
        <v/>
      </c>
    </row>
    <row r="29" spans="1:19" x14ac:dyDescent="0.4">
      <c r="A29" s="45" t="s">
        <v>6</v>
      </c>
      <c r="B29" s="46" t="s">
        <v>108</v>
      </c>
      <c r="C29" s="46" t="s">
        <v>0</v>
      </c>
      <c r="D29" s="47"/>
      <c r="E29" s="67" t="str">
        <f>IF('National currencies'!E29="","",'National currencies'!E29)</f>
        <v/>
      </c>
      <c r="F29" s="66">
        <f>'National currencies'!F29</f>
        <v>691.18</v>
      </c>
      <c r="G29" s="65">
        <f>'National currencies'!G29</f>
        <v>0</v>
      </c>
      <c r="H29" s="66"/>
      <c r="I29" s="48"/>
      <c r="J29" s="48"/>
      <c r="K29" s="61">
        <f>'National currencies'!K29</f>
        <v>691.18</v>
      </c>
      <c r="L29" s="220"/>
      <c r="M29" s="62" t="str">
        <f>IF(ISBLANK(L29),"",IF((N2+O2)&gt;0,0,M2))</f>
        <v/>
      </c>
      <c r="N29" s="49"/>
      <c r="O29" s="63"/>
      <c r="P29" s="69" t="str">
        <f t="shared" ref="P29:P32" si="0">IF(ISBLANK(L29),"",IF(M29=0,0,IF(M29&gt;1,K29,F29)))</f>
        <v/>
      </c>
      <c r="Q29" s="70"/>
      <c r="R29" s="71"/>
      <c r="S29" s="64" t="str">
        <f t="shared" ref="S29:S32" si="1">IF(ISBLANK(L29),"",IF(M29=0,"",IF(M29&gt;1,K29,F29)))</f>
        <v/>
      </c>
    </row>
    <row r="30" spans="1:19" x14ac:dyDescent="0.4">
      <c r="A30" s="45" t="s">
        <v>6</v>
      </c>
      <c r="B30" s="46" t="s">
        <v>108</v>
      </c>
      <c r="C30" s="46" t="s">
        <v>0</v>
      </c>
      <c r="D30" s="47" t="s">
        <v>9</v>
      </c>
      <c r="E30" s="67" t="str">
        <f>IF('National currencies'!E30="","",'National currencies'!E30)</f>
        <v/>
      </c>
      <c r="F30" s="66">
        <f>'National currencies'!F30</f>
        <v>1089.06</v>
      </c>
      <c r="G30" s="65">
        <f>'National currencies'!G30</f>
        <v>0</v>
      </c>
      <c r="H30" s="66"/>
      <c r="I30" s="48"/>
      <c r="J30" s="48"/>
      <c r="K30" s="61">
        <f>'National currencies'!K30</f>
        <v>1089.06</v>
      </c>
      <c r="L30" s="220"/>
      <c r="M30" s="62" t="str">
        <f>IF(ISBLANK(L30),"",IF((N2+O2)&gt;0,0,M2))</f>
        <v/>
      </c>
      <c r="N30" s="49"/>
      <c r="O30" s="63"/>
      <c r="P30" s="69" t="str">
        <f t="shared" si="0"/>
        <v/>
      </c>
      <c r="Q30" s="70"/>
      <c r="R30" s="71"/>
      <c r="S30" s="64" t="str">
        <f t="shared" si="1"/>
        <v/>
      </c>
    </row>
    <row r="31" spans="1:19" x14ac:dyDescent="0.4">
      <c r="A31" s="45" t="s">
        <v>6</v>
      </c>
      <c r="B31" s="46" t="s">
        <v>108</v>
      </c>
      <c r="C31" s="46" t="s">
        <v>0</v>
      </c>
      <c r="D31" s="47" t="str">
        <f>Tabelle4[[#This Row],[Special cases / Comments]]</f>
        <v>administrative (A.1, A.4, A.5a, A.5b)</v>
      </c>
      <c r="E31" s="67" t="str">
        <f>IF('National currencies'!E31="","",'National currencies'!E31)</f>
        <v/>
      </c>
      <c r="F31" s="66">
        <f>'National currencies'!F31</f>
        <v>763.17</v>
      </c>
      <c r="G31" s="65">
        <f>'National currencies'!G31</f>
        <v>0</v>
      </c>
      <c r="H31" s="66"/>
      <c r="I31" s="48"/>
      <c r="J31" s="48"/>
      <c r="K31" s="61">
        <f>'National currencies'!K31</f>
        <v>763.17</v>
      </c>
      <c r="L31" s="220"/>
      <c r="M31" s="62" t="str">
        <f>IF(ISBLANK(L31),"",IF((N2+O2)&gt;0,0,M2))</f>
        <v/>
      </c>
      <c r="N31" s="49"/>
      <c r="O31" s="63"/>
      <c r="P31" s="69" t="str">
        <f t="shared" si="0"/>
        <v/>
      </c>
      <c r="Q31" s="70"/>
      <c r="R31" s="71"/>
      <c r="S31" s="64" t="str">
        <f t="shared" si="1"/>
        <v/>
      </c>
    </row>
    <row r="32" spans="1:19" x14ac:dyDescent="0.4">
      <c r="A32" s="45" t="s">
        <v>6</v>
      </c>
      <c r="B32" s="46" t="s">
        <v>108</v>
      </c>
      <c r="C32" s="46" t="s">
        <v>0</v>
      </c>
      <c r="D32" s="47" t="str">
        <f>Tabelle4[[#This Row],[Special cases / Comments]]</f>
        <v>herbal, admin. (A.1, A.4, A.5a, A.5b)</v>
      </c>
      <c r="E32" s="67" t="str">
        <f>IF('National currencies'!E32="","",'National currencies'!E32)</f>
        <v/>
      </c>
      <c r="F32" s="66">
        <f>'National currencies'!F32</f>
        <v>763.17</v>
      </c>
      <c r="G32" s="65">
        <f>'National currencies'!G32</f>
        <v>0</v>
      </c>
      <c r="H32" s="66"/>
      <c r="I32" s="48"/>
      <c r="J32" s="48"/>
      <c r="K32" s="61">
        <f>'National currencies'!K32</f>
        <v>763.17</v>
      </c>
      <c r="L32" s="220"/>
      <c r="M32" s="62" t="str">
        <f>IF(ISBLANK(L32),"",IF((N2+O2)&gt;0,0,M2))</f>
        <v/>
      </c>
      <c r="N32" s="49"/>
      <c r="O32" s="63"/>
      <c r="P32" s="69" t="str">
        <f t="shared" si="0"/>
        <v/>
      </c>
      <c r="Q32" s="70"/>
      <c r="R32" s="71"/>
      <c r="S32" s="64" t="str">
        <f t="shared" si="1"/>
        <v/>
      </c>
    </row>
    <row r="33" spans="1:19" x14ac:dyDescent="0.4">
      <c r="A33" s="45" t="s">
        <v>6</v>
      </c>
      <c r="B33" s="46" t="s">
        <v>109</v>
      </c>
      <c r="C33" s="46" t="s">
        <v>0</v>
      </c>
      <c r="D33" s="47"/>
      <c r="E33" s="67" t="str">
        <f>IF('National currencies'!E33="","",'National currencies'!E33)</f>
        <v/>
      </c>
      <c r="F33" s="66">
        <f>'National currencies'!F33</f>
        <v>1281.6600000000001</v>
      </c>
      <c r="G33" s="65">
        <f>'National currencies'!G33</f>
        <v>0</v>
      </c>
      <c r="H33" s="66"/>
      <c r="I33" s="48"/>
      <c r="J33" s="48"/>
      <c r="K33" s="61">
        <f>'National currencies'!K33</f>
        <v>1281.6600000000001</v>
      </c>
      <c r="L33" s="220"/>
      <c r="M33" s="62" t="str">
        <f>IF(ISBLANK(L33),"",IF(O2&gt;0,0,IF(N2=0,0,M2)))</f>
        <v/>
      </c>
      <c r="N33" s="49" t="str">
        <f>IF(ISBLANK(L33),"",IF(O2&gt;0,0,N2))</f>
        <v/>
      </c>
      <c r="O33" s="63"/>
      <c r="P33" s="69"/>
      <c r="Q33" s="70" t="str">
        <f>IF(ISBLANK(L33),"",IF(N33=0,0,IF(N33&gt;1,K33,F33)))</f>
        <v/>
      </c>
      <c r="R33" s="71"/>
      <c r="S33" s="64" t="str">
        <f>IF(ISBLANK(L33),"",IF(N33=0,"",IF(N33&gt;1,K33,F33)))</f>
        <v/>
      </c>
    </row>
    <row r="34" spans="1:19" x14ac:dyDescent="0.4">
      <c r="A34" s="45" t="s">
        <v>6</v>
      </c>
      <c r="B34" s="46" t="s">
        <v>109</v>
      </c>
      <c r="C34" s="46" t="s">
        <v>0</v>
      </c>
      <c r="D34" s="47" t="s">
        <v>9</v>
      </c>
      <c r="E34" s="67" t="str">
        <f>IF('National currencies'!E34="","",'National currencies'!E34)</f>
        <v/>
      </c>
      <c r="F34" s="66">
        <f>'National currencies'!F34</f>
        <v>2039.91</v>
      </c>
      <c r="G34" s="65">
        <f>'National currencies'!G34</f>
        <v>0</v>
      </c>
      <c r="H34" s="66"/>
      <c r="I34" s="48"/>
      <c r="J34" s="48"/>
      <c r="K34" s="61">
        <f>'National currencies'!K34</f>
        <v>2039.91</v>
      </c>
      <c r="L34" s="220"/>
      <c r="M34" s="62" t="str">
        <f>IF(ISBLANK(L34),"",IF(O2&gt;0,0,IF(N2=0,0,M2)))</f>
        <v/>
      </c>
      <c r="N34" s="49" t="str">
        <f>IF(ISBLANK(L34),"",IF(O2&gt;0,0,N2))</f>
        <v/>
      </c>
      <c r="O34" s="63"/>
      <c r="P34" s="69"/>
      <c r="Q34" s="70" t="str">
        <f>IF(ISBLANK(L34),"",IF(N34=0,0,IF(N34&gt;1,K34,F34)))</f>
        <v/>
      </c>
      <c r="R34" s="71"/>
      <c r="S34" s="64" t="str">
        <f>IF(ISBLANK(L34),"",IF(N34=0,"",IF(N34&gt;1,K34,F34)))</f>
        <v/>
      </c>
    </row>
    <row r="35" spans="1:19" x14ac:dyDescent="0.4">
      <c r="A35" s="45" t="s">
        <v>6</v>
      </c>
      <c r="B35" s="46" t="s">
        <v>110</v>
      </c>
      <c r="C35" s="46" t="s">
        <v>0</v>
      </c>
      <c r="D35" s="47" t="s">
        <v>7</v>
      </c>
      <c r="E35" s="67" t="str">
        <f>IF('National currencies'!E35="","",'National currencies'!E35)</f>
        <v/>
      </c>
      <c r="F35" s="66">
        <f>'National currencies'!F35</f>
        <v>10261.26</v>
      </c>
      <c r="G35" s="65">
        <f>'National currencies'!G35</f>
        <v>0</v>
      </c>
      <c r="H35" s="66"/>
      <c r="I35" s="48"/>
      <c r="J35" s="48"/>
      <c r="K35" s="61">
        <f>'National currencies'!K35</f>
        <v>10261.26</v>
      </c>
      <c r="L35" s="220"/>
      <c r="M35" s="62" t="str">
        <f>IF(ISBLANK(L35),"",IF(O2=0,0,M2))</f>
        <v/>
      </c>
      <c r="N35" s="49" t="str">
        <f>IF(ISBLANK(L35),"",IF(O2=0,0,N2))</f>
        <v/>
      </c>
      <c r="O35" s="63" t="str">
        <f>IF(ISBLANK(L35),"",O2)</f>
        <v/>
      </c>
      <c r="P35" s="69"/>
      <c r="Q35" s="70"/>
      <c r="R35" s="71" t="str">
        <f>IF(ISBLANK(L35),"",IF(O35=0,0,IF(O35&gt;1,K35,F35)))</f>
        <v/>
      </c>
      <c r="S35" s="64" t="str">
        <f>IF(ISBLANK(L35),"",IF(O35=0,"",IF(O35&gt;1,K35,F35)))</f>
        <v/>
      </c>
    </row>
    <row r="36" spans="1:19" x14ac:dyDescent="0.4">
      <c r="A36" s="45" t="s">
        <v>6</v>
      </c>
      <c r="B36" s="46" t="s">
        <v>110</v>
      </c>
      <c r="C36" s="46" t="s">
        <v>0</v>
      </c>
      <c r="D36" s="47" t="s">
        <v>104</v>
      </c>
      <c r="E36" s="67" t="str">
        <f>IF('National currencies'!E36="","",'National currencies'!E36)</f>
        <v/>
      </c>
      <c r="F36" s="66">
        <f>'National currencies'!F36</f>
        <v>9750.64</v>
      </c>
      <c r="G36" s="65">
        <f>'National currencies'!G36</f>
        <v>0</v>
      </c>
      <c r="H36" s="66"/>
      <c r="I36" s="48"/>
      <c r="J36" s="48"/>
      <c r="K36" s="61">
        <f>'National currencies'!K36</f>
        <v>9750.64</v>
      </c>
      <c r="L36" s="220"/>
      <c r="M36" s="62" t="str">
        <f>IF(ISBLANK(L36),"",IF(O2=0,0,M2))</f>
        <v/>
      </c>
      <c r="N36" s="49" t="str">
        <f>IF(ISBLANK(L36),"",IF(O2=0,0,N2))</f>
        <v/>
      </c>
      <c r="O36" s="63" t="str">
        <f>IF(ISBLANK(L36),"",O2)</f>
        <v/>
      </c>
      <c r="P36" s="69"/>
      <c r="Q36" s="70"/>
      <c r="R36" s="71" t="str">
        <f>IF(ISBLANK(L36),"",IF(O36=0,0,IF(O36&gt;1,K36,F36)))</f>
        <v/>
      </c>
      <c r="S36" s="64" t="str">
        <f>IF(ISBLANK(L36),"",IF(O36=0,"",IF(O36&gt;1,K36,F36)))</f>
        <v/>
      </c>
    </row>
    <row r="37" spans="1:19" x14ac:dyDescent="0.4">
      <c r="A37" s="45" t="s">
        <v>6</v>
      </c>
      <c r="B37" s="46" t="s">
        <v>110</v>
      </c>
      <c r="C37" s="46" t="s">
        <v>0</v>
      </c>
      <c r="D37" s="47" t="s">
        <v>8</v>
      </c>
      <c r="E37" s="67" t="str">
        <f>IF('National currencies'!E37="","",'National currencies'!E37)</f>
        <v/>
      </c>
      <c r="F37" s="66">
        <f>'National currencies'!F37</f>
        <v>7010.89</v>
      </c>
      <c r="G37" s="65">
        <f>'National currencies'!G37</f>
        <v>0</v>
      </c>
      <c r="H37" s="66"/>
      <c r="I37" s="48"/>
      <c r="J37" s="48"/>
      <c r="K37" s="61">
        <f>'National currencies'!K37</f>
        <v>7010.89</v>
      </c>
      <c r="L37" s="220"/>
      <c r="M37" s="62" t="str">
        <f>IF(ISBLANK(L37),"",IF(O2=0,0,M2))</f>
        <v/>
      </c>
      <c r="N37" s="49" t="str">
        <f>IF(ISBLANK(L37),"",IF(O2=0,0,N2))</f>
        <v/>
      </c>
      <c r="O37" s="63" t="str">
        <f>IF(ISBLANK(L37),"",O2)</f>
        <v/>
      </c>
      <c r="P37" s="69"/>
      <c r="Q37" s="70"/>
      <c r="R37" s="71" t="str">
        <f>IF(ISBLANK(L37),"",IF(O37=0,0,IF(O37&gt;1,K37,F37)))</f>
        <v/>
      </c>
      <c r="S37" s="64" t="str">
        <f>IF(ISBLANK(L37),"",IF(O37=0,"",IF(O37&gt;1,K37,F37)))</f>
        <v/>
      </c>
    </row>
    <row r="38" spans="1:19" x14ac:dyDescent="0.4">
      <c r="A38" s="45" t="s">
        <v>6</v>
      </c>
      <c r="B38" s="46" t="s">
        <v>110</v>
      </c>
      <c r="C38" s="46" t="s">
        <v>0</v>
      </c>
      <c r="D38" s="47" t="s">
        <v>105</v>
      </c>
      <c r="E38" s="67" t="str">
        <f>IF('National currencies'!E38="","",'National currencies'!E38)</f>
        <v/>
      </c>
      <c r="F38" s="66">
        <f>'National currencies'!F38</f>
        <v>8122.65</v>
      </c>
      <c r="G38" s="65">
        <f>'National currencies'!G38</f>
        <v>0</v>
      </c>
      <c r="H38" s="66"/>
      <c r="I38" s="48"/>
      <c r="J38" s="48"/>
      <c r="K38" s="61">
        <f>'National currencies'!K38</f>
        <v>8122.65</v>
      </c>
      <c r="L38" s="220"/>
      <c r="M38" s="62" t="str">
        <f>IF(ISBLANK(L38),"",IF(O2=0,0,M2))</f>
        <v/>
      </c>
      <c r="N38" s="49" t="str">
        <f>IF(ISBLANK(L38),"",IF(O2=0,0,N2))</f>
        <v/>
      </c>
      <c r="O38" s="63" t="str">
        <f>IF(ISBLANK(L38),"",O2)</f>
        <v/>
      </c>
      <c r="P38" s="69"/>
      <c r="Q38" s="70"/>
      <c r="R38" s="71" t="str">
        <f>IF(ISBLANK(L38),"",IF(O38=0,0,IF(O38&gt;1,K38,F38)))</f>
        <v/>
      </c>
      <c r="S38" s="64" t="str">
        <f>IF(ISBLANK(L38),"",IF(O38=0,"",IF(O38&gt;1,K38,F38)))</f>
        <v/>
      </c>
    </row>
    <row r="39" spans="1:19" x14ac:dyDescent="0.4">
      <c r="A39" s="45" t="s">
        <v>10</v>
      </c>
      <c r="B39" s="46" t="s">
        <v>108</v>
      </c>
      <c r="C39" s="46" t="s">
        <v>1</v>
      </c>
      <c r="D39" s="47"/>
      <c r="E39" s="67" t="str">
        <f>IF('National currencies'!E39="","",'National currencies'!E39)</f>
        <v/>
      </c>
      <c r="F39" s="66">
        <f>'National currencies'!F39</f>
        <v>511.29</v>
      </c>
      <c r="G39" s="65">
        <v>0</v>
      </c>
      <c r="H39" s="66">
        <f>'National currencies'!H39</f>
        <v>511.29</v>
      </c>
      <c r="I39" s="48"/>
      <c r="J39" s="48"/>
      <c r="K39" s="61"/>
      <c r="L39" s="220"/>
      <c r="M39" s="62" t="str">
        <f>IF(ISBLANK(L39),"",IF((N2+O2)&gt;0,0,M2))</f>
        <v/>
      </c>
      <c r="N39" s="49"/>
      <c r="O39" s="63"/>
      <c r="P39" s="69" t="str">
        <f>IF(ISBLANK(L39),"",IF(M39=0,0,IF(L39=1,F39+(M39-1)*H39,(F39+(L39-1)*G39)+(H39+(L39-1)*G39)*(M39-1))))</f>
        <v/>
      </c>
      <c r="Q39" s="70"/>
      <c r="R39" s="71"/>
      <c r="S39" s="64" t="str">
        <f>IF(ISBLANK(L39),"",IF(M39=0,"",P39))</f>
        <v/>
      </c>
    </row>
    <row r="40" spans="1:19" x14ac:dyDescent="0.4">
      <c r="A40" s="45" t="s">
        <v>10</v>
      </c>
      <c r="B40" s="46" t="s">
        <v>109</v>
      </c>
      <c r="C40" s="46" t="s">
        <v>1</v>
      </c>
      <c r="D40" s="47"/>
      <c r="E40" s="67" t="str">
        <f>IF('National currencies'!E40="","",'National currencies'!E40)</f>
        <v/>
      </c>
      <c r="F40" s="66">
        <f>'National currencies'!F40</f>
        <v>511.29</v>
      </c>
      <c r="G40" s="65">
        <v>0</v>
      </c>
      <c r="H40" s="66">
        <f>'National currencies'!H40</f>
        <v>511.29</v>
      </c>
      <c r="I40" s="48">
        <f>'National currencies'!I40</f>
        <v>511.29</v>
      </c>
      <c r="J40" s="48"/>
      <c r="K40" s="61"/>
      <c r="L40" s="220"/>
      <c r="M40" s="62" t="str">
        <f>IF(ISBLANK(L40),"",IF(O2&gt;0,0,IF(N2=0,0,M2)))</f>
        <v/>
      </c>
      <c r="N40" s="49" t="str">
        <f>IF(ISBLANK(L40),"",IF(O2&gt;0,0,N2))</f>
        <v/>
      </c>
      <c r="O40" s="63"/>
      <c r="P40" s="69" t="str">
        <f>IF(ISBLANK(L40),"",IF(M40=0,0,IF(L40=1,H40+(M40-1)*H40,(H40+(L40-1)*G39)+(H40+(L40-1)*G39)*(M40-1))))</f>
        <v/>
      </c>
      <c r="Q40" s="70" t="str">
        <f>IF(ISBLANK(L40),"",IF(N40=0,0,IF(L40=1,F40+(N40-1)*I40,(F40+(L40-1)*G40)+(I40+(L40-1)*G40)*(N40-1))))</f>
        <v/>
      </c>
      <c r="R40" s="71"/>
      <c r="S40" s="64" t="str">
        <f>IF(ISBLANK(L40),"",IF(N40=0,"",P40+Q40))</f>
        <v/>
      </c>
    </row>
    <row r="41" spans="1:19" x14ac:dyDescent="0.4">
      <c r="A41" s="45" t="s">
        <v>10</v>
      </c>
      <c r="B41" s="46" t="s">
        <v>110</v>
      </c>
      <c r="C41" s="46" t="s">
        <v>1</v>
      </c>
      <c r="D41" s="47"/>
      <c r="E41" s="67" t="str">
        <f>IF('National currencies'!E41="","",'National currencies'!E41)</f>
        <v/>
      </c>
      <c r="F41" s="66">
        <f>'National currencies'!F41</f>
        <v>766.94</v>
      </c>
      <c r="G41" s="65">
        <v>0</v>
      </c>
      <c r="H41" s="66">
        <f>'National currencies'!H41</f>
        <v>511.29</v>
      </c>
      <c r="I41" s="48">
        <f>'National currencies'!I41</f>
        <v>511.29</v>
      </c>
      <c r="J41" s="48">
        <f>'National currencies'!J41</f>
        <v>766.94</v>
      </c>
      <c r="K41" s="61"/>
      <c r="L41" s="220"/>
      <c r="M41" s="62" t="str">
        <f>IF(ISBLANK(L41),"",IF(O2=0,0,M2))</f>
        <v/>
      </c>
      <c r="N41" s="49" t="str">
        <f>IF(ISBLANK(L41),"",IF(O2=0,0,N2))</f>
        <v/>
      </c>
      <c r="O41" s="63" t="str">
        <f>IF(ISBLANK(L41),"",O2)</f>
        <v/>
      </c>
      <c r="P41" s="69" t="str">
        <f>IF(ISBLANK(L41),"",IF(M41=0,0,IF(L41=1,H41+(M41-1)*H41,(H41+(L41-1)*G39)+(H41+(L41-1)*G39)*(M41-1))))</f>
        <v/>
      </c>
      <c r="Q41" s="70" t="str">
        <f>IF(ISBLANK(L41),"",IF(N41=0,0,IF(L41=1,I41+(N41-1)*I41,(I41+(L41-1)*G40)+(I41+(L41-1)*G40)*(N41-1))))</f>
        <v/>
      </c>
      <c r="R41" s="71" t="str">
        <f>IF(ISBLANK(L41),"",IF(O41=0,0,IF(L41=1,F41+(O41-1)*J41,(F41+(L41-1)*G41)+(J41+(L41-1)*G41)*(O41-1))))</f>
        <v/>
      </c>
      <c r="S41" s="64" t="str">
        <f>IF(ISBLANK(L41),"",IF(O41=0,"",P41+Q41+R41))</f>
        <v/>
      </c>
    </row>
    <row r="42" spans="1:19" x14ac:dyDescent="0.4">
      <c r="A42" s="45" t="s">
        <v>10</v>
      </c>
      <c r="B42" s="46" t="s">
        <v>108</v>
      </c>
      <c r="C42" s="46" t="s">
        <v>2</v>
      </c>
      <c r="D42" s="47"/>
      <c r="E42" s="67" t="str">
        <f>IF('National currencies'!E42="","",'National currencies'!E42)</f>
        <v/>
      </c>
      <c r="F42" s="66">
        <f>'National currencies'!F42</f>
        <v>511.29</v>
      </c>
      <c r="G42" s="65">
        <v>0</v>
      </c>
      <c r="H42" s="66">
        <f>'National currencies'!H42</f>
        <v>511.29</v>
      </c>
      <c r="I42" s="48"/>
      <c r="J42" s="48"/>
      <c r="K42" s="61"/>
      <c r="L42" s="220"/>
      <c r="M42" s="62" t="str">
        <f>IF(ISBLANK(L42),"",IF((N2+O2)&gt;0,0,M2))</f>
        <v/>
      </c>
      <c r="N42" s="49"/>
      <c r="O42" s="63"/>
      <c r="P42" s="69" t="str">
        <f>IF(ISBLANK(L42),"",IF(M42=0,0,IF(L42=1,F42+(M42-1)*H42,(F42+(L42-1)*G42)+(H42+(L42-1)*G42)*(M42-1))))</f>
        <v/>
      </c>
      <c r="Q42" s="70"/>
      <c r="R42" s="71"/>
      <c r="S42" s="64" t="str">
        <f>IF(ISBLANK(L42),"",IF(M42=0,"",P42))</f>
        <v/>
      </c>
    </row>
    <row r="43" spans="1:19" x14ac:dyDescent="0.4">
      <c r="A43" s="45" t="s">
        <v>10</v>
      </c>
      <c r="B43" s="46" t="s">
        <v>109</v>
      </c>
      <c r="C43" s="46" t="s">
        <v>2</v>
      </c>
      <c r="D43" s="47"/>
      <c r="E43" s="67" t="str">
        <f>IF('National currencies'!E43="","",'National currencies'!E43)</f>
        <v/>
      </c>
      <c r="F43" s="66">
        <f>'National currencies'!F43</f>
        <v>511.29</v>
      </c>
      <c r="G43" s="65">
        <v>0</v>
      </c>
      <c r="H43" s="66">
        <f>'National currencies'!H43</f>
        <v>511.29</v>
      </c>
      <c r="I43" s="48">
        <f>'National currencies'!I43</f>
        <v>511.29</v>
      </c>
      <c r="J43" s="48"/>
      <c r="K43" s="61"/>
      <c r="L43" s="220"/>
      <c r="M43" s="62" t="str">
        <f>IF(ISBLANK(L43),"",IF(O2&gt;0,0,IF(N2=0,0,M2)))</f>
        <v/>
      </c>
      <c r="N43" s="49" t="str">
        <f>IF(ISBLANK(L43),"",IF(O2&gt;0,0,N2))</f>
        <v/>
      </c>
      <c r="O43" s="63"/>
      <c r="P43" s="69" t="str">
        <f>IF(ISBLANK(L43),"",IF(M43=0,0,IF(L43=1,H43+(M43-1)*H43,(H43+(L43-1)*G42)+(H43+(L43-1)*G42)*(M43-1))))</f>
        <v/>
      </c>
      <c r="Q43" s="70" t="str">
        <f>IF(ISBLANK(L43),"",IF(N43=0,0,IF(L43=1,F43+(N43-1)*I43,(F43+(L43-1)*G43)+(I43+(L43-1)*G43)*(N43-1))))</f>
        <v/>
      </c>
      <c r="R43" s="71"/>
      <c r="S43" s="64" t="str">
        <f>IF(ISBLANK(L43),"",IF(N43=0,"",P43+Q43))</f>
        <v/>
      </c>
    </row>
    <row r="44" spans="1:19" x14ac:dyDescent="0.4">
      <c r="A44" s="45" t="s">
        <v>10</v>
      </c>
      <c r="B44" s="46" t="s">
        <v>110</v>
      </c>
      <c r="C44" s="46" t="s">
        <v>2</v>
      </c>
      <c r="D44" s="47"/>
      <c r="E44" s="67" t="str">
        <f>IF('National currencies'!E44="","",'National currencies'!E44)</f>
        <v/>
      </c>
      <c r="F44" s="66">
        <f>'National currencies'!F44</f>
        <v>766.94</v>
      </c>
      <c r="G44" s="65">
        <v>0</v>
      </c>
      <c r="H44" s="66">
        <f>'National currencies'!H44</f>
        <v>511.29</v>
      </c>
      <c r="I44" s="48">
        <f>'National currencies'!I44</f>
        <v>511.29</v>
      </c>
      <c r="J44" s="48">
        <f>'National currencies'!J44</f>
        <v>766.94</v>
      </c>
      <c r="K44" s="61"/>
      <c r="L44" s="220"/>
      <c r="M44" s="62" t="str">
        <f>IF(ISBLANK(L44),"",IF(O2=0,0,M2))</f>
        <v/>
      </c>
      <c r="N44" s="49" t="str">
        <f>IF(ISBLANK(L44),"",IF(O2=0,0,N2))</f>
        <v/>
      </c>
      <c r="O44" s="63" t="str">
        <f>IF(ISBLANK(L44),"",O2)</f>
        <v/>
      </c>
      <c r="P44" s="69" t="str">
        <f>IF(ISBLANK(L44),"",IF(M44=0,0,IF(L44=1,H44+(M44-1)*H44,(H44+(L44-1)*G42)+(H44+(L44-1)*G42)*(M44-1))))</f>
        <v/>
      </c>
      <c r="Q44" s="70" t="str">
        <f>IF(ISBLANK(L44),"",IF(N44=0,0,IF(L44=1,I44+(N44-1)*I44,(I44+(L44-1)*G43)+(I44+(L44-1)*G43)*(N44-1))))</f>
        <v/>
      </c>
      <c r="R44" s="71" t="str">
        <f>IF(ISBLANK(L44),"",IF(O44=0,0,IF(L44=1,F44+(O44-1)*J44,(F44+(L44-1)*G44)+(J44+(L44-1)*G44)*(O44-1))))</f>
        <v/>
      </c>
      <c r="S44" s="64" t="str">
        <f>IF(ISBLANK(L44),"",IF(O44=0,"",P44+Q44+R44))</f>
        <v/>
      </c>
    </row>
    <row r="45" spans="1:19" x14ac:dyDescent="0.4">
      <c r="A45" s="45" t="s">
        <v>10</v>
      </c>
      <c r="B45" s="46" t="s">
        <v>108</v>
      </c>
      <c r="C45" s="46" t="s">
        <v>0</v>
      </c>
      <c r="D45" s="47"/>
      <c r="E45" s="67" t="str">
        <f>IF('National currencies'!E45="","",'National currencies'!E45)</f>
        <v/>
      </c>
      <c r="F45" s="66">
        <f>'National currencies'!F45</f>
        <v>255.65</v>
      </c>
      <c r="G45" s="65">
        <v>0</v>
      </c>
      <c r="H45" s="66">
        <f>'National currencies'!H45</f>
        <v>255.65</v>
      </c>
      <c r="I45" s="48"/>
      <c r="J45" s="48"/>
      <c r="K45" s="61"/>
      <c r="L45" s="220"/>
      <c r="M45" s="62" t="str">
        <f>IF(ISBLANK(L45),"",IF((N2+O2)&gt;0,0,M2))</f>
        <v/>
      </c>
      <c r="N45" s="49"/>
      <c r="O45" s="63"/>
      <c r="P45" s="69" t="str">
        <f>IF(ISBLANK(L45),"",IF(M45=0,0,IF(L45=1,F45+(M45-1)*H45,(F45+(L45-1)*G45)+(H45+(L45-1)*G45)*(M45-1))))</f>
        <v/>
      </c>
      <c r="Q45" s="70"/>
      <c r="R45" s="71"/>
      <c r="S45" s="64" t="str">
        <f>IF(ISBLANK(L45),"",IF(M45=0,"",P45))</f>
        <v/>
      </c>
    </row>
    <row r="46" spans="1:19" x14ac:dyDescent="0.4">
      <c r="A46" s="45" t="s">
        <v>10</v>
      </c>
      <c r="B46" s="46" t="s">
        <v>109</v>
      </c>
      <c r="C46" s="46" t="s">
        <v>0</v>
      </c>
      <c r="D46" s="47"/>
      <c r="E46" s="67" t="str">
        <f>IF('National currencies'!E46="","",'National currencies'!E46)</f>
        <v/>
      </c>
      <c r="F46" s="66">
        <f>'National currencies'!F46</f>
        <v>511.29</v>
      </c>
      <c r="G46" s="65">
        <v>0</v>
      </c>
      <c r="H46" s="66">
        <f>'National currencies'!H46</f>
        <v>255.65</v>
      </c>
      <c r="I46" s="48">
        <f>'National currencies'!I46</f>
        <v>511.29</v>
      </c>
      <c r="J46" s="48"/>
      <c r="K46" s="61"/>
      <c r="L46" s="220"/>
      <c r="M46" s="62" t="str">
        <f>IF(ISBLANK(L46),"",IF(O2&gt;0,0,IF(N2=0,0,M2)))</f>
        <v/>
      </c>
      <c r="N46" s="49" t="str">
        <f>IF(ISBLANK(L46),"",IF(O2&gt;0,0,N2))</f>
        <v/>
      </c>
      <c r="O46" s="63"/>
      <c r="P46" s="69" t="str">
        <f>IF(ISBLANK(L46),"",IF(M46=0,0,IF(L46=1,H46+(M46-1)*H46,(H46+(L46-1)*G45)+(H46+(L46-1)*G45)*(M46-1))))</f>
        <v/>
      </c>
      <c r="Q46" s="70" t="str">
        <f>IF(ISBLANK(L46),"",IF(N46=0,0,IF(L46=1,F46+(N46-1)*I46,(F46+(L46-1)*G46)+(I46+(L46-1)*G46)*(N46-1))))</f>
        <v/>
      </c>
      <c r="R46" s="71"/>
      <c r="S46" s="64" t="str">
        <f>IF(ISBLANK(L46),"",IF(N46=0,"",P46+Q46))</f>
        <v/>
      </c>
    </row>
    <row r="47" spans="1:19" x14ac:dyDescent="0.4">
      <c r="A47" s="45" t="s">
        <v>10</v>
      </c>
      <c r="B47" s="46" t="s">
        <v>110</v>
      </c>
      <c r="C47" s="46" t="s">
        <v>0</v>
      </c>
      <c r="D47" s="47"/>
      <c r="E47" s="67" t="str">
        <f>IF('National currencies'!E47="","",'National currencies'!E47)</f>
        <v/>
      </c>
      <c r="F47" s="66">
        <f>'National currencies'!F47</f>
        <v>894.76</v>
      </c>
      <c r="G47" s="65">
        <v>0</v>
      </c>
      <c r="H47" s="66">
        <f>'National currencies'!H47</f>
        <v>255.65</v>
      </c>
      <c r="I47" s="48">
        <f>'National currencies'!I47</f>
        <v>511.29</v>
      </c>
      <c r="J47" s="48">
        <f>'National currencies'!J47</f>
        <v>894.76</v>
      </c>
      <c r="K47" s="61"/>
      <c r="L47" s="220"/>
      <c r="M47" s="62" t="str">
        <f>IF(ISBLANK(L47),"",IF(O2=0,0,M2))</f>
        <v/>
      </c>
      <c r="N47" s="49" t="str">
        <f>IF(ISBLANK(L47),"",IF(O2=0,0,N2))</f>
        <v/>
      </c>
      <c r="O47" s="63" t="str">
        <f>IF(ISBLANK(L47),"",O2)</f>
        <v/>
      </c>
      <c r="P47" s="69" t="str">
        <f>IF(ISBLANK(L47),"",IF(M47=0,0,IF(L47=1,H47+(M47-1)*H47,(H47+(L47-1)*G45)+(H47+(L47-1)*G45)*(M47-1))))</f>
        <v/>
      </c>
      <c r="Q47" s="70" t="str">
        <f>IF(ISBLANK(L47),"",IF(N47=0,0,IF(L47=1,I47+(N47-1)*I47,(I47+(L47-1)*G46)+(I47+(L47-1)*G46)*(N47-1))))</f>
        <v/>
      </c>
      <c r="R47" s="71" t="str">
        <f>IF(ISBLANK(L47),"",IF(O47=0,0,IF(L47=1,F47+(O47-1)*J47,(F47+(L47-1)*G47)+(J47+(L47-1)*G47)*(O47-1))))</f>
        <v/>
      </c>
      <c r="S47" s="64" t="str">
        <f>IF(ISBLANK(L47),"",IF(O47=0,"",P47+Q47+R47))</f>
        <v/>
      </c>
    </row>
    <row r="48" spans="1:19" x14ac:dyDescent="0.4">
      <c r="A48" s="45" t="s">
        <v>12</v>
      </c>
      <c r="B48" s="46" t="s">
        <v>108</v>
      </c>
      <c r="C48" s="46" t="s">
        <v>1</v>
      </c>
      <c r="D48" s="47"/>
      <c r="E48" s="67" t="str">
        <f>IF('National currencies'!E48="","",'National currencies'!E48)</f>
        <v/>
      </c>
      <c r="F48" s="66">
        <f>'National currencies'!F48</f>
        <v>341</v>
      </c>
      <c r="G48" s="65">
        <f>'National currencies'!G48</f>
        <v>0</v>
      </c>
      <c r="H48" s="66">
        <f>'National currencies'!H48</f>
        <v>341</v>
      </c>
      <c r="I48" s="48"/>
      <c r="J48" s="48"/>
      <c r="K48" s="61"/>
      <c r="L48" s="220"/>
      <c r="M48" s="62" t="str">
        <f>IF(ISBLANK(L48),"",IF((N2+O2)&gt;0,0,M2))</f>
        <v/>
      </c>
      <c r="N48" s="49"/>
      <c r="O48" s="63"/>
      <c r="P48" s="69" t="str">
        <f>IF(ISBLANK(L48),"",IF(M48=0,0,IF(L48=1,F48+(M48-1)*H48,(F48+(L48-1)*G48)+(H48+(L48-1)*G48)*(M48-1))))</f>
        <v/>
      </c>
      <c r="Q48" s="70"/>
      <c r="R48" s="71"/>
      <c r="S48" s="64" t="str">
        <f>IF(ISBLANK(L48),"",IF(M48=0,"",P48))</f>
        <v/>
      </c>
    </row>
    <row r="49" spans="1:19" x14ac:dyDescent="0.4">
      <c r="A49" s="45" t="s">
        <v>12</v>
      </c>
      <c r="B49" s="46" t="s">
        <v>109</v>
      </c>
      <c r="C49" s="46" t="s">
        <v>1</v>
      </c>
      <c r="D49" s="47"/>
      <c r="E49" s="67" t="str">
        <f>IF('National currencies'!E49="","",'National currencies'!E49)</f>
        <v/>
      </c>
      <c r="F49" s="66">
        <f>'National currencies'!F49</f>
        <v>341</v>
      </c>
      <c r="G49" s="65">
        <f>'National currencies'!G49</f>
        <v>0</v>
      </c>
      <c r="H49" s="66">
        <f>'National currencies'!H49</f>
        <v>341</v>
      </c>
      <c r="I49" s="48">
        <f>'National currencies'!I49</f>
        <v>341</v>
      </c>
      <c r="J49" s="48"/>
      <c r="K49" s="61"/>
      <c r="L49" s="220"/>
      <c r="M49" s="62" t="str">
        <f>IF(ISBLANK(L49),"",IF(O2&gt;0,0,IF(N2=0,0,M2)))</f>
        <v/>
      </c>
      <c r="N49" s="49" t="str">
        <f>IF(ISBLANK(L49),"",IF(O2&gt;0,0,N2))</f>
        <v/>
      </c>
      <c r="O49" s="63"/>
      <c r="P49" s="69" t="str">
        <f>IF(ISBLANK(L49),"",IF(M49=0,0,IF(L49=1,H49+(M49-1)*H49,(H49+(L49-1)*G48)+(H49+(L49-1)*G48)*(M49-1))))</f>
        <v/>
      </c>
      <c r="Q49" s="70" t="str">
        <f>IF(ISBLANK(L49),"",IF(N49=0,0,IF(L49=1,F49+(N49-1)*I49,(F49+(L49-1)*G49)+(I49+(L49-1)*G49)*(N49-1))))</f>
        <v/>
      </c>
      <c r="R49" s="71"/>
      <c r="S49" s="64" t="str">
        <f>IF(ISBLANK(L49),"",IF(N49=0,"",P49+Q49))</f>
        <v/>
      </c>
    </row>
    <row r="50" spans="1:19" x14ac:dyDescent="0.4">
      <c r="A50" s="45" t="s">
        <v>12</v>
      </c>
      <c r="B50" s="46" t="s">
        <v>110</v>
      </c>
      <c r="C50" s="46" t="s">
        <v>1</v>
      </c>
      <c r="D50" s="47"/>
      <c r="E50" s="67" t="str">
        <f>IF('National currencies'!E50="","",'National currencies'!E50)</f>
        <v/>
      </c>
      <c r="F50" s="66">
        <f>'National currencies'!F50</f>
        <v>3410</v>
      </c>
      <c r="G50" s="65">
        <f>'National currencies'!G50</f>
        <v>0</v>
      </c>
      <c r="H50" s="66">
        <f>'National currencies'!H50</f>
        <v>341</v>
      </c>
      <c r="I50" s="48">
        <f>'National currencies'!I50</f>
        <v>341</v>
      </c>
      <c r="J50" s="48">
        <f>'National currencies'!J50</f>
        <v>3410</v>
      </c>
      <c r="K50" s="61"/>
      <c r="L50" s="220"/>
      <c r="M50" s="62" t="str">
        <f>IF(ISBLANK(L50),"",IF(O2=0,0,M2))</f>
        <v/>
      </c>
      <c r="N50" s="49" t="str">
        <f>IF(ISBLANK(L50),"",IF(O2=0,0,N2))</f>
        <v/>
      </c>
      <c r="O50" s="63" t="str">
        <f>IF(ISBLANK(L50),"",O2)</f>
        <v/>
      </c>
      <c r="P50" s="69" t="str">
        <f>IF(ISBLANK(L50),"",IF(M50=0,0,IF(L50=1,H50+(M50-1)*H50,(H50+(L50-1)*G48)+(H50+(L50-1)*G48)*(M50-1))))</f>
        <v/>
      </c>
      <c r="Q50" s="70" t="str">
        <f>IF(ISBLANK(L50),"",IF(N50=0,0,IF(L50=1,I50+(N50-1)*I50,(I50+(L50-1)*G49)+(I50+(L50-1)*G49)*(N50-1))))</f>
        <v/>
      </c>
      <c r="R50" s="71" t="str">
        <f>IF(ISBLANK(L50),"",IF(O50=0,0,IF(L50=1,F50+(O50-1)*J50,(F50+(L50-1)*G50)+(J50+(L50-1)*G50)*(O50-1))))</f>
        <v/>
      </c>
      <c r="S50" s="64" t="str">
        <f>IF(ISBLANK(L50),"",IF(O50=0,"",P50+Q50+R50))</f>
        <v/>
      </c>
    </row>
    <row r="51" spans="1:19" x14ac:dyDescent="0.4">
      <c r="A51" s="45" t="s">
        <v>12</v>
      </c>
      <c r="B51" s="46" t="s">
        <v>108</v>
      </c>
      <c r="C51" s="46" t="s">
        <v>2</v>
      </c>
      <c r="D51" s="47"/>
      <c r="E51" s="67" t="str">
        <f>IF('National currencies'!E51="","",'National currencies'!E51)</f>
        <v/>
      </c>
      <c r="F51" s="66">
        <f>'National currencies'!F51</f>
        <v>85</v>
      </c>
      <c r="G51" s="65">
        <f>'National currencies'!G51</f>
        <v>0</v>
      </c>
      <c r="H51" s="66">
        <f>'National currencies'!H51</f>
        <v>85</v>
      </c>
      <c r="I51" s="48"/>
      <c r="J51" s="48"/>
      <c r="K51" s="61"/>
      <c r="L51" s="220"/>
      <c r="M51" s="62" t="str">
        <f>IF(ISBLANK(L51),"",IF((N2+O2)&gt;0,0,M2))</f>
        <v/>
      </c>
      <c r="N51" s="49"/>
      <c r="O51" s="63"/>
      <c r="P51" s="69" t="str">
        <f>IF(ISBLANK(L51),"",IF(M51=0,0,IF(L51=1,F51+(M51-1)*H51,(F51+(L51-1)*G51)+(H51+(L51-1)*G51)*(M51-1))))</f>
        <v/>
      </c>
      <c r="Q51" s="70"/>
      <c r="R51" s="71"/>
      <c r="S51" s="64" t="str">
        <f>IF(ISBLANK(L51),"",IF(M51=0,"",P51))</f>
        <v/>
      </c>
    </row>
    <row r="52" spans="1:19" x14ac:dyDescent="0.4">
      <c r="A52" s="45" t="s">
        <v>12</v>
      </c>
      <c r="B52" s="46" t="s">
        <v>109</v>
      </c>
      <c r="C52" s="46" t="s">
        <v>2</v>
      </c>
      <c r="D52" s="47"/>
      <c r="E52" s="67" t="str">
        <f>IF('National currencies'!E52="","",'National currencies'!E52)</f>
        <v/>
      </c>
      <c r="F52" s="66">
        <f>'National currencies'!F52</f>
        <v>85</v>
      </c>
      <c r="G52" s="65">
        <f>'National currencies'!G52</f>
        <v>0</v>
      </c>
      <c r="H52" s="66">
        <f>'National currencies'!H52</f>
        <v>85</v>
      </c>
      <c r="I52" s="48">
        <f>'National currencies'!I52</f>
        <v>85</v>
      </c>
      <c r="J52" s="48"/>
      <c r="K52" s="61"/>
      <c r="L52" s="220"/>
      <c r="M52" s="62" t="str">
        <f>IF(ISBLANK(L52),"",IF(O2&gt;0,0,IF(N2=0,0,M2)))</f>
        <v/>
      </c>
      <c r="N52" s="49" t="str">
        <f>IF(ISBLANK(L52),"",IF(O2&gt;0,0,N2))</f>
        <v/>
      </c>
      <c r="O52" s="63"/>
      <c r="P52" s="69" t="str">
        <f>IF(ISBLANK(L52),"",IF(M52=0,0,IF(L52=1,H52+(M52-1)*H52,(H52+(L52-1)*G51)+(H52+(L52-1)*G51)*(M52-1))))</f>
        <v/>
      </c>
      <c r="Q52" s="70" t="str">
        <f>IF(ISBLANK(L52),"",IF(N52=0,0,IF(L52=1,F52+(N52-1)*I52,(F52+(L52-1)*G52)+(I52+(L52-1)*G52)*(N52-1))))</f>
        <v/>
      </c>
      <c r="R52" s="71"/>
      <c r="S52" s="64" t="str">
        <f>IF(ISBLANK(L52),"",IF(N52=0,"",P52+Q52))</f>
        <v/>
      </c>
    </row>
    <row r="53" spans="1:19" x14ac:dyDescent="0.4">
      <c r="A53" s="45" t="s">
        <v>12</v>
      </c>
      <c r="B53" s="46" t="s">
        <v>110</v>
      </c>
      <c r="C53" s="46" t="s">
        <v>2</v>
      </c>
      <c r="D53" s="47"/>
      <c r="E53" s="67" t="str">
        <f>IF('National currencies'!E53="","",'National currencies'!E53)</f>
        <v/>
      </c>
      <c r="F53" s="66">
        <f>'National currencies'!F53</f>
        <v>341</v>
      </c>
      <c r="G53" s="65">
        <f>'National currencies'!G53</f>
        <v>0</v>
      </c>
      <c r="H53" s="66">
        <f>'National currencies'!H53</f>
        <v>85</v>
      </c>
      <c r="I53" s="48">
        <f>'National currencies'!I53</f>
        <v>85</v>
      </c>
      <c r="J53" s="48">
        <f>'National currencies'!J53</f>
        <v>341</v>
      </c>
      <c r="K53" s="61"/>
      <c r="L53" s="220"/>
      <c r="M53" s="62" t="str">
        <f>IF(ISBLANK(L53),"",IF(O2=0,0,M2))</f>
        <v/>
      </c>
      <c r="N53" s="49" t="str">
        <f>IF(ISBLANK(L53),"",IF(O2=0,0,N2))</f>
        <v/>
      </c>
      <c r="O53" s="63" t="str">
        <f>IF(ISBLANK(L53),"",O2)</f>
        <v/>
      </c>
      <c r="P53" s="69" t="str">
        <f>IF(ISBLANK(L53),"",IF(M53=0,0,IF(L53=1,H53+(M53-1)*H53,(H53+(L53-1)*G51)+(H53+(L53-1)*G51)*(M53-1))))</f>
        <v/>
      </c>
      <c r="Q53" s="70" t="str">
        <f>IF(ISBLANK(L53),"",IF(N53=0,0,IF(L53=1,I53+(N53-1)*I53,(I53+(L53-1)*G52)+(I53+(L53-1)*G52)*(N53-1))))</f>
        <v/>
      </c>
      <c r="R53" s="71" t="str">
        <f>IF(ISBLANK(L53),"",IF(O53=0,0,IF(L53=1,F53+(O53-1)*J53,(F53+(L53-1)*G53)+(J53+(L53-1)*G53)*(O53-1))))</f>
        <v/>
      </c>
      <c r="S53" s="64" t="str">
        <f>IF(ISBLANK(L53),"",IF(O53=0,"",P53+Q53+R53))</f>
        <v/>
      </c>
    </row>
    <row r="54" spans="1:19" x14ac:dyDescent="0.4">
      <c r="A54" s="45" t="s">
        <v>12</v>
      </c>
      <c r="B54" s="46" t="s">
        <v>108</v>
      </c>
      <c r="C54" s="46" t="s">
        <v>0</v>
      </c>
      <c r="D54" s="47"/>
      <c r="E54" s="67" t="str">
        <f>IF('National currencies'!E54="","",'National currencies'!E54)</f>
        <v/>
      </c>
      <c r="F54" s="66">
        <f>'National currencies'!F54</f>
        <v>17</v>
      </c>
      <c r="G54" s="65">
        <f>'National currencies'!G54</f>
        <v>0</v>
      </c>
      <c r="H54" s="66">
        <f>'National currencies'!H54</f>
        <v>17</v>
      </c>
      <c r="I54" s="48"/>
      <c r="J54" s="48"/>
      <c r="K54" s="61"/>
      <c r="L54" s="220"/>
      <c r="M54" s="62" t="str">
        <f>IF(ISBLANK(L54),"",IF((N2+O2)&gt;0,0,M2))</f>
        <v/>
      </c>
      <c r="N54" s="49"/>
      <c r="O54" s="63"/>
      <c r="P54" s="69" t="str">
        <f>IF(ISBLANK(L54),"",IF(M54=0,0,IF(L54=1,F54+(M54-1)*H54,(F54+(L54-1)*G54)+(H54+(L54-1)*G54)*(M54-1))))</f>
        <v/>
      </c>
      <c r="Q54" s="70"/>
      <c r="R54" s="71"/>
      <c r="S54" s="64" t="str">
        <f>IF(ISBLANK(L54),"",IF(M54=0,"",P54))</f>
        <v/>
      </c>
    </row>
    <row r="55" spans="1:19" x14ac:dyDescent="0.4">
      <c r="A55" s="45" t="s">
        <v>12</v>
      </c>
      <c r="B55" s="46" t="s">
        <v>109</v>
      </c>
      <c r="C55" s="46" t="s">
        <v>0</v>
      </c>
      <c r="D55" s="47"/>
      <c r="E55" s="67" t="str">
        <f>IF('National currencies'!E55="","",'National currencies'!E55)</f>
        <v/>
      </c>
      <c r="F55" s="66">
        <f>'National currencies'!F55</f>
        <v>17</v>
      </c>
      <c r="G55" s="65">
        <f>'National currencies'!G55</f>
        <v>0</v>
      </c>
      <c r="H55" s="66">
        <f>'National currencies'!H55</f>
        <v>17</v>
      </c>
      <c r="I55" s="48">
        <f>'National currencies'!I55</f>
        <v>17</v>
      </c>
      <c r="J55" s="48"/>
      <c r="K55" s="61"/>
      <c r="L55" s="220"/>
      <c r="M55" s="62" t="str">
        <f>IF(ISBLANK(L55),"",IF(O2&gt;0,0,IF(N2=0,0,M2)))</f>
        <v/>
      </c>
      <c r="N55" s="49" t="str">
        <f>IF(ISBLANK(L55),"",IF(O2&gt;0,0,N2))</f>
        <v/>
      </c>
      <c r="O55" s="63"/>
      <c r="P55" s="69" t="str">
        <f>IF(ISBLANK(L55),"",IF(M55=0,0,IF(L55=1,H55+(M55-1)*H55,(H55+(L55-1)*G54)+(H55+(L55-1)*G54)*(M55-1))))</f>
        <v/>
      </c>
      <c r="Q55" s="70" t="str">
        <f>IF(ISBLANK(L55),"",IF(N55=0,0,IF(L55=1,F55+(N55-1)*I55,(F55+(L55-1)*G55)+(I55+(L55-1)*G55)*(N55-1))))</f>
        <v/>
      </c>
      <c r="R55" s="71"/>
      <c r="S55" s="64" t="str">
        <f>IF(ISBLANK(L55),"",IF(N55=0,"",P55+Q55))</f>
        <v/>
      </c>
    </row>
    <row r="56" spans="1:19" x14ac:dyDescent="0.4">
      <c r="A56" s="45" t="s">
        <v>12</v>
      </c>
      <c r="B56" s="46" t="s">
        <v>110</v>
      </c>
      <c r="C56" s="46" t="s">
        <v>0</v>
      </c>
      <c r="D56" s="47"/>
      <c r="E56" s="67" t="str">
        <f>IF('National currencies'!E56="","",'National currencies'!E56)</f>
        <v/>
      </c>
      <c r="F56" s="66">
        <f>'National currencies'!F56</f>
        <v>51</v>
      </c>
      <c r="G56" s="65">
        <f>'National currencies'!G56</f>
        <v>0</v>
      </c>
      <c r="H56" s="66">
        <f>'National currencies'!H56</f>
        <v>17</v>
      </c>
      <c r="I56" s="48">
        <f>'National currencies'!I56</f>
        <v>17</v>
      </c>
      <c r="J56" s="48">
        <f>'National currencies'!J56</f>
        <v>51</v>
      </c>
      <c r="K56" s="61"/>
      <c r="L56" s="220"/>
      <c r="M56" s="62" t="str">
        <f>IF(ISBLANK(L56),"",IF(O2=0,0,M2))</f>
        <v/>
      </c>
      <c r="N56" s="49" t="str">
        <f>IF(ISBLANK(L56),"",IF(O2=0,0,N2))</f>
        <v/>
      </c>
      <c r="O56" s="63" t="str">
        <f>IF(ISBLANK(L56),"",O2)</f>
        <v/>
      </c>
      <c r="P56" s="69" t="str">
        <f>IF(ISBLANK(L56),"",IF(M56=0,0,IF(L56=1,H56+(M56-1)*H56,(H56+(L56-1)*G54)+(H56+(L56-1)*G54)*(M56-1))))</f>
        <v/>
      </c>
      <c r="Q56" s="70" t="str">
        <f>IF(ISBLANK(L56),"",IF(N56=0,0,IF(L56=1,I56+(N56-1)*I56,(I56+(L56-1)*G55)+(I56+(L56-1)*G55)*(N56-1))))</f>
        <v/>
      </c>
      <c r="R56" s="71" t="str">
        <f>IF(ISBLANK(L56),"",IF(O56=0,0,IF(L56=1,F56+(O56-1)*J56,(F56+(L56-1)*G56)+(J56+(L56-1)*G56)*(O56-1))))</f>
        <v/>
      </c>
      <c r="S56" s="64" t="str">
        <f>IF(ISBLANK(L56),"",IF(O56=0,"",P56+Q56+R56))</f>
        <v/>
      </c>
    </row>
    <row r="57" spans="1:19" x14ac:dyDescent="0.4">
      <c r="A57" s="45" t="s">
        <v>13</v>
      </c>
      <c r="B57" s="46" t="s">
        <v>108</v>
      </c>
      <c r="C57" s="46" t="s">
        <v>1</v>
      </c>
      <c r="D57" s="47" t="s">
        <v>308</v>
      </c>
      <c r="E57" s="67" t="str">
        <f>IF('National currencies'!E57="","",'National currencies'!E57)</f>
        <v>R-025</v>
      </c>
      <c r="F57" s="66">
        <f>'National currencies'!F57/'Exchange rates'!B2</f>
        <v>541.04864165279548</v>
      </c>
      <c r="G57" s="65">
        <f>'National currencies'!G57/'Exchange rates'!B2</f>
        <v>270.52432082639774</v>
      </c>
      <c r="H57" s="66">
        <f>'National currencies'!H57/'Exchange rates'!B2</f>
        <v>541.04864165279548</v>
      </c>
      <c r="I57" s="48"/>
      <c r="J57" s="48"/>
      <c r="K57" s="61"/>
      <c r="L57" s="220"/>
      <c r="M57" s="62" t="str">
        <f>IF(ISBLANK(L57),"",IF((N2+O2)&gt;0,0,M2))</f>
        <v/>
      </c>
      <c r="N57" s="49"/>
      <c r="O57" s="63"/>
      <c r="P57" s="69" t="str">
        <f>IF(ISBLANK(L57),"",IF(M57=0,0,IF(L57=1,F57+(M57-1)*H57,(F57+(L57-1)*G57)+(H57+(L57-1)*G57)*(M57-1))))</f>
        <v/>
      </c>
      <c r="Q57" s="70"/>
      <c r="R57" s="71"/>
      <c r="S57" s="64" t="str">
        <f>IF(ISBLANK(L57),"",IF(M57=0,"",P57+77))</f>
        <v/>
      </c>
    </row>
    <row r="58" spans="1:19" x14ac:dyDescent="0.4">
      <c r="A58" s="45" t="s">
        <v>13</v>
      </c>
      <c r="B58" s="46" t="s">
        <v>109</v>
      </c>
      <c r="C58" s="46" t="s">
        <v>1</v>
      </c>
      <c r="D58" s="47" t="s">
        <v>308</v>
      </c>
      <c r="E58" s="67" t="str">
        <f>IF('National currencies'!E58="","",'National currencies'!E58)</f>
        <v>R-024</v>
      </c>
      <c r="F58" s="66">
        <f>'National currencies'!F58/'Exchange rates'!B2</f>
        <v>1127.2018331807194</v>
      </c>
      <c r="G58" s="65">
        <f>'National currencies'!G58/'Exchange rates'!B2</f>
        <v>563.6009165903597</v>
      </c>
      <c r="H58" s="66">
        <f>'National currencies'!H58/'Exchange rates'!B2</f>
        <v>541.04864165279548</v>
      </c>
      <c r="I58" s="48">
        <f>'National currencies'!I58/'Exchange rates'!B2</f>
        <v>1127.2018331807194</v>
      </c>
      <c r="J58" s="48"/>
      <c r="K58" s="61"/>
      <c r="L58" s="220"/>
      <c r="M58" s="62" t="str">
        <f>IF(ISBLANK(L58),"",IF(O2&gt;0,0,IF(N2=0,0,M2)))</f>
        <v/>
      </c>
      <c r="N58" s="49" t="str">
        <f>IF(ISBLANK(L58),"",IF(O2&gt;0,0,N2))</f>
        <v/>
      </c>
      <c r="O58" s="63"/>
      <c r="P58" s="69" t="str">
        <f>IF(ISBLANK(L58),"",IF(M58=0,0,IF(L58=1,H58+(M58-1)*H58,(H58+(L58-1)*G57)+(H58+(L58-1)*G57)*(M58-1))))</f>
        <v/>
      </c>
      <c r="Q58" s="70" t="str">
        <f>IF(ISBLANK(L58),"",IF(N58=0,0,IF(L58=1,F58+(N58-1)*I58,(F58+(L58-1)*G58)+(I58+(L58-1)*G58)*(N58-1))))</f>
        <v/>
      </c>
      <c r="R58" s="71"/>
      <c r="S58" s="64" t="str">
        <f>IF(ISBLANK(L58),"",IF(N58=0,"",P58+Q58+77))</f>
        <v/>
      </c>
    </row>
    <row r="59" spans="1:19" x14ac:dyDescent="0.4">
      <c r="A59" s="45" t="s">
        <v>13</v>
      </c>
      <c r="B59" s="46" t="s">
        <v>110</v>
      </c>
      <c r="C59" s="46" t="s">
        <v>1</v>
      </c>
      <c r="D59" s="47" t="s">
        <v>308</v>
      </c>
      <c r="E59" s="67" t="str">
        <f>IF('National currencies'!E59="","",'National currencies'!E59)</f>
        <v>R-023</v>
      </c>
      <c r="F59" s="66">
        <f>'National currencies'!F59/'Exchange rates'!B2</f>
        <v>5184.7577103035683</v>
      </c>
      <c r="G59" s="65">
        <f>'National currencies'!G59/'Exchange rates'!B2</f>
        <v>2592.3788551517841</v>
      </c>
      <c r="H59" s="66">
        <f>'National currencies'!H59/'Exchange rates'!B2</f>
        <v>541.04864165279548</v>
      </c>
      <c r="I59" s="48">
        <f>'National currencies'!I59/'Exchange rates'!B2</f>
        <v>1127.2018331807194</v>
      </c>
      <c r="J59" s="48">
        <f>'National currencies'!J59/'Exchange rates'!B2</f>
        <v>5184.7577103035683</v>
      </c>
      <c r="K59" s="61"/>
      <c r="L59" s="220"/>
      <c r="M59" s="62" t="str">
        <f>IF(ISBLANK(L59),"",IF(O2=0,0,M2))</f>
        <v/>
      </c>
      <c r="N59" s="49" t="str">
        <f>IF(ISBLANK(L59),"",IF(O2=0,0,N2))</f>
        <v/>
      </c>
      <c r="O59" s="63" t="str">
        <f>IF(ISBLANK(L59),"",O2)</f>
        <v/>
      </c>
      <c r="P59" s="69" t="str">
        <f>IF(ISBLANK(L59),"",IF(M59=0,0,IF(L59=1,H59+(M59-1)*H59,(H59+(L59-1)*G57)+(H59+(L59-1)*G57)*(M59-1))))</f>
        <v/>
      </c>
      <c r="Q59" s="70" t="str">
        <f>IF(ISBLANK(L59),"",IF(N59=0,0,IF(L59=1,I59+(N59-1)*I59,(I59+(L59-1)*G58)+(I59+(L59-1)*G58)*(N59-1))))</f>
        <v/>
      </c>
      <c r="R59" s="71" t="str">
        <f>IF(ISBLANK(L59),"",IF(O59=0,0,IF(L59=1,F59+(O59-1)*J59,(F59+(L59-1)*G59)+(J59+(L59-1)*G59)*(O59-1))))</f>
        <v/>
      </c>
      <c r="S59" s="64" t="str">
        <f>IF(ISBLANK(L59),"",IF(O59=0,"",P59+Q59+R59+77))</f>
        <v/>
      </c>
    </row>
    <row r="60" spans="1:19" x14ac:dyDescent="0.4">
      <c r="A60" s="45" t="s">
        <v>13</v>
      </c>
      <c r="B60" s="46" t="s">
        <v>108</v>
      </c>
      <c r="C60" s="46" t="s">
        <v>2</v>
      </c>
      <c r="D60" s="47" t="s">
        <v>308</v>
      </c>
      <c r="E60" s="67" t="str">
        <f>IF('National currencies'!E60="","",'National currencies'!E60)</f>
        <v>R-034</v>
      </c>
      <c r="F60" s="66">
        <f>'National currencies'!F60/'Exchange rates'!B2</f>
        <v>180.41819950051345</v>
      </c>
      <c r="G60" s="65">
        <f>'National currencies'!G60/'Exchange rates'!B2</f>
        <v>90.209099750256726</v>
      </c>
      <c r="H60" s="66">
        <f>'National currencies'!H60/'Exchange rates'!B2</f>
        <v>180.41819950051345</v>
      </c>
      <c r="I60" s="48"/>
      <c r="J60" s="48"/>
      <c r="K60" s="61"/>
      <c r="L60" s="220"/>
      <c r="M60" s="62" t="str">
        <f>IF(ISBLANK(L60),"",IF((N2+O2)&gt;0,0,M2))</f>
        <v/>
      </c>
      <c r="N60" s="49"/>
      <c r="O60" s="63"/>
      <c r="P60" s="69" t="str">
        <f>IF(ISBLANK(L60),"",IF(M60=0,0,IF(L60=1,F60+(M60-1)*H60,(F60+(L60-1)*G60)+(H60+(L60-1)*G60)*(M60-1))))</f>
        <v/>
      </c>
      <c r="Q60" s="70"/>
      <c r="R60" s="71"/>
      <c r="S60" s="64" t="str">
        <f>IF(ISBLANK(L60),"",IF(M60=0,"",P60+77))</f>
        <v/>
      </c>
    </row>
    <row r="61" spans="1:19" x14ac:dyDescent="0.4">
      <c r="A61" s="45" t="s">
        <v>13</v>
      </c>
      <c r="B61" s="46" t="s">
        <v>109</v>
      </c>
      <c r="C61" s="46" t="s">
        <v>2</v>
      </c>
      <c r="D61" s="47" t="s">
        <v>308</v>
      </c>
      <c r="E61" s="67" t="str">
        <f>IF('National currencies'!E61="","",'National currencies'!E61)</f>
        <v>R-033</v>
      </c>
      <c r="F61" s="66">
        <f>'National currencies'!F61/'Exchange rates'!B2</f>
        <v>450.83954190253877</v>
      </c>
      <c r="G61" s="65">
        <f>'National currencies'!G61/'Exchange rates'!B2</f>
        <v>225.41977095126938</v>
      </c>
      <c r="H61" s="66">
        <f>'National currencies'!H61/'Exchange rates'!B2</f>
        <v>180.41819950051345</v>
      </c>
      <c r="I61" s="48">
        <f>'National currencies'!I61/'Exchange rates'!B2</f>
        <v>450.83954190253877</v>
      </c>
      <c r="J61" s="48"/>
      <c r="K61" s="61"/>
      <c r="L61" s="220"/>
      <c r="M61" s="62" t="str">
        <f>IF(ISBLANK(L61),"",IF(O2&gt;0,0,IF(N2=0,0,M2)))</f>
        <v/>
      </c>
      <c r="N61" s="49" t="str">
        <f>IF(ISBLANK(L61),"",IF(O2&gt;0,0,N2))</f>
        <v/>
      </c>
      <c r="O61" s="63"/>
      <c r="P61" s="69" t="str">
        <f>IF(ISBLANK(L61),"",IF(M61=0,0,IF(L61=1,H61+(M61-1)*H61,(H61+(L61-1)*G60)+(H61+(L61-1)*G60)*(M61-1))))</f>
        <v/>
      </c>
      <c r="Q61" s="70" t="str">
        <f>IF(ISBLANK(L61),"",IF(N61=0,0,IF(L61=1,F61+(N61-1)*I61,(F61+(L61-1)*G61)+(I61+(L61-1)*G61)*(N61-1))))</f>
        <v/>
      </c>
      <c r="R61" s="71"/>
      <c r="S61" s="64" t="str">
        <f>IF(ISBLANK(L61),"",IF(N61=0,"",P61+Q61+77))</f>
        <v/>
      </c>
    </row>
    <row r="62" spans="1:19" x14ac:dyDescent="0.4">
      <c r="A62" s="45" t="s">
        <v>13</v>
      </c>
      <c r="B62" s="46" t="s">
        <v>110</v>
      </c>
      <c r="C62" s="46" t="s">
        <v>2</v>
      </c>
      <c r="D62" s="47" t="s">
        <v>308</v>
      </c>
      <c r="E62" s="67" t="str">
        <f>IF('National currencies'!E62="","",'National currencies'!E62)</f>
        <v>R-032</v>
      </c>
      <c r="F62" s="66">
        <f>'National currencies'!F62/'Exchange rates'!B2</f>
        <v>2479.7204588883355</v>
      </c>
      <c r="G62" s="65">
        <f>'National currencies'!G62/'Exchange rates'!B2</f>
        <v>1239.8602294441678</v>
      </c>
      <c r="H62" s="66">
        <f>'National currencies'!H62/'Exchange rates'!B2</f>
        <v>180.41819950051345</v>
      </c>
      <c r="I62" s="48">
        <f>'National currencies'!I62/'Exchange rates'!B2</f>
        <v>450.83954190253877</v>
      </c>
      <c r="J62" s="48">
        <f>'National currencies'!J62/'Exchange rates'!B2</f>
        <v>2479.7204588883355</v>
      </c>
      <c r="K62" s="61"/>
      <c r="L62" s="220"/>
      <c r="M62" s="62" t="str">
        <f>IF(ISBLANK(L62),"",IF(O2=0,0,M2))</f>
        <v/>
      </c>
      <c r="N62" s="49" t="str">
        <f>IF(ISBLANK(L62),"",IF(O2=0,0,N2))</f>
        <v/>
      </c>
      <c r="O62" s="63" t="str">
        <f>IF(ISBLANK(L62),"",O2)</f>
        <v/>
      </c>
      <c r="P62" s="69" t="str">
        <f>IF(ISBLANK(L62),"",IF(M62=0,0,IF(L62=1,H62+(M62-1)*H62,(H62+(L62-1)*G60)+(H62+(L62-1)*G60)*(M62-1))))</f>
        <v/>
      </c>
      <c r="Q62" s="70" t="str">
        <f>IF(ISBLANK(L62),"",IF(N62=0,0,IF(L62=1,I62+(N62-1)*I62,(I62+(L62-1)*G61)+(I62+(L62-1)*G61)*(N62-1))))</f>
        <v/>
      </c>
      <c r="R62" s="71" t="str">
        <f>IF(ISBLANK(L62),"",IF(O62=0,0,IF(L62=1,F62+(O62-1)*J62,(F62+(L62-1)*G62)+(J62+(L62-1)*G62)*(O62-1))))</f>
        <v/>
      </c>
      <c r="S62" s="64" t="str">
        <f>IF(ISBLANK(L62),"",IF(O62=0,"",P62+Q62+R62+77))</f>
        <v/>
      </c>
    </row>
    <row r="63" spans="1:19" x14ac:dyDescent="0.4">
      <c r="A63" s="45" t="s">
        <v>13</v>
      </c>
      <c r="B63" s="46" t="s">
        <v>108</v>
      </c>
      <c r="C63" s="46" t="s">
        <v>0</v>
      </c>
      <c r="D63" s="47" t="s">
        <v>308</v>
      </c>
      <c r="E63" s="67" t="str">
        <f>IF('National currencies'!E63="","",'National currencies'!E63)</f>
        <v>R-008</v>
      </c>
      <c r="F63" s="66">
        <f>'National currencies'!F63/'Exchange rates'!B2</f>
        <v>270.62729925077019</v>
      </c>
      <c r="G63" s="65">
        <f>'National currencies'!G63/'Exchange rates'!B2</f>
        <v>135.3136496253851</v>
      </c>
      <c r="H63" s="66">
        <f>'National currencies'!H63/'Exchange rates'!B2</f>
        <v>270.62729925077019</v>
      </c>
      <c r="I63" s="48"/>
      <c r="J63" s="48"/>
      <c r="K63" s="61"/>
      <c r="L63" s="220"/>
      <c r="M63" s="62" t="str">
        <f>IF(ISBLANK(L63),"",IF((N2+O2)&gt;0,0,M2))</f>
        <v/>
      </c>
      <c r="N63" s="49"/>
      <c r="O63" s="63"/>
      <c r="P63" s="69" t="str">
        <f>IF(ISBLANK(L63),"",IF(M63=0,0,IF(L63=1,F63+(M63-1)*H63,(F63+(L63-1)*G63)+(H63+(L63-1)*G63)*(M63-1))))</f>
        <v/>
      </c>
      <c r="Q63" s="70"/>
      <c r="R63" s="71"/>
      <c r="S63" s="64" t="str">
        <f>IF(ISBLANK(L63),"",IF(M63=0,"",P63+77))</f>
        <v/>
      </c>
    </row>
    <row r="64" spans="1:19" x14ac:dyDescent="0.4">
      <c r="A64" s="45" t="s">
        <v>13</v>
      </c>
      <c r="B64" s="46" t="s">
        <v>109</v>
      </c>
      <c r="C64" s="46" t="s">
        <v>0</v>
      </c>
      <c r="D64" s="47" t="s">
        <v>308</v>
      </c>
      <c r="E64" s="67" t="str">
        <f>IF('National currencies'!E64="","",'National currencies'!E64)</f>
        <v>R-040</v>
      </c>
      <c r="F64" s="66">
        <f>'National currencies'!F64/'Exchange rates'!B2</f>
        <v>676.36229127818058</v>
      </c>
      <c r="G64" s="65">
        <f>'National currencies'!G64/'Exchange rates'!B2</f>
        <v>338.18114563909029</v>
      </c>
      <c r="H64" s="66">
        <f>'National currencies'!H64/'Exchange rates'!B2</f>
        <v>270.62729925077019</v>
      </c>
      <c r="I64" s="48">
        <f>'National currencies'!I64/'Exchange rates'!B2</f>
        <v>676.36229127818058</v>
      </c>
      <c r="J64" s="48"/>
      <c r="K64" s="61"/>
      <c r="L64" s="220"/>
      <c r="M64" s="62" t="str">
        <f>IF(ISBLANK(L64),"",IF(O2&gt;0,0,IF(N2=0,0,M2)))</f>
        <v/>
      </c>
      <c r="N64" s="49" t="str">
        <f>IF(ISBLANK(L64),"",IF(O2&gt;0,0,N2))</f>
        <v/>
      </c>
      <c r="O64" s="63"/>
      <c r="P64" s="69" t="str">
        <f>IF(ISBLANK(L64),"",IF(M64=0,0,IF(L64=1,H64+(M64-1)*H64,(H64+(L64-1)*G63)+(H64+(L64-1)*G63)*(M64-1))))</f>
        <v/>
      </c>
      <c r="Q64" s="70" t="str">
        <f>IF(ISBLANK(L64),"",IF(N64=0,0,IF(L64=1,F64+(N64-1)*I64,(F64+(L64-1)*G64)+(I64+(L64-1)*G64)*(N64-1))))</f>
        <v/>
      </c>
      <c r="R64" s="71"/>
      <c r="S64" s="64" t="str">
        <f>IF(ISBLANK(L64),"",IF(N64=0,"",P64+Q64+77))</f>
        <v/>
      </c>
    </row>
    <row r="65" spans="1:19" x14ac:dyDescent="0.4">
      <c r="A65" s="45" t="s">
        <v>13</v>
      </c>
      <c r="B65" s="46" t="s">
        <v>110</v>
      </c>
      <c r="C65" s="46" t="s">
        <v>0</v>
      </c>
      <c r="D65" s="47" t="s">
        <v>308</v>
      </c>
      <c r="E65" s="67" t="str">
        <f>IF('National currencies'!E65="","",'National currencies'!E65)</f>
        <v>R-007</v>
      </c>
      <c r="F65" s="66">
        <f>'National currencies'!F65/'Exchange rates'!B2</f>
        <v>3606.7163352203102</v>
      </c>
      <c r="G65" s="65">
        <f>'National currencies'!G65/'Exchange rates'!B2</f>
        <v>1803.3581676101551</v>
      </c>
      <c r="H65" s="66">
        <f>'National currencies'!H65/'Exchange rates'!B2</f>
        <v>270.62729925077019</v>
      </c>
      <c r="I65" s="48">
        <f>'National currencies'!I65/'Exchange rates'!B2</f>
        <v>676.36229127818058</v>
      </c>
      <c r="J65" s="48">
        <f>'National currencies'!J65/'Exchange rates'!B2</f>
        <v>3606.7163352203102</v>
      </c>
      <c r="K65" s="61"/>
      <c r="L65" s="220"/>
      <c r="M65" s="62" t="str">
        <f>IF(ISBLANK(L65),"",IF(O2=0,0,M2))</f>
        <v/>
      </c>
      <c r="N65" s="49" t="str">
        <f>IF(ISBLANK(L65),"",IF(O2=0,0,N2))</f>
        <v/>
      </c>
      <c r="O65" s="63" t="str">
        <f>IF(ISBLANK(L65),"",O2)</f>
        <v/>
      </c>
      <c r="P65" s="69" t="str">
        <f>IF(ISBLANK(L65),"",IF(M65=0,0,IF(L65=1,H65+(M65-1)*H65,(H65+(L65-1)*G63)+(H65+(L65-1)*G63)*(M65-1))))</f>
        <v/>
      </c>
      <c r="Q65" s="70" t="str">
        <f>IF(ISBLANK(L65),"",IF(N65=0,0,IF(L65=1,I65+(N65-1)*I65,(I65+(L65-1)*G64)+(I65+(L65-1)*G64)*(N65-1))))</f>
        <v/>
      </c>
      <c r="R65" s="71" t="str">
        <f>IF(ISBLANK(L65),"",IF(O65=0,0,IF(L65=1,F65+(O65-1)*J65,(F65+(L65-1)*G65)+(J65+(L65-1)*G65)*(O65-1))))</f>
        <v/>
      </c>
      <c r="S65" s="64" t="str">
        <f>IF(ISBLANK(L65),"",IF(O65=0,"",P65+Q65+R65+77))</f>
        <v/>
      </c>
    </row>
    <row r="66" spans="1:19" x14ac:dyDescent="0.4">
      <c r="A66" s="45" t="s">
        <v>3</v>
      </c>
      <c r="B66" s="46" t="s">
        <v>108</v>
      </c>
      <c r="C66" s="46" t="s">
        <v>1</v>
      </c>
      <c r="D66" s="47"/>
      <c r="E66" s="67" t="str">
        <f>IF('National currencies'!E66="","",'National currencies'!E66)</f>
        <v>1.1.1 / 1.1.2</v>
      </c>
      <c r="F66" s="66">
        <f>'National currencies'!F66</f>
        <v>370</v>
      </c>
      <c r="G66" s="65">
        <f>'National currencies'!G66</f>
        <v>200</v>
      </c>
      <c r="H66" s="66">
        <f>'National currencies'!H66</f>
        <v>300</v>
      </c>
      <c r="I66" s="48"/>
      <c r="J66" s="48"/>
      <c r="K66" s="61"/>
      <c r="L66" s="220"/>
      <c r="M66" s="62" t="str">
        <f>IF(ISBLANK(L66),"",IF((N2+O2)&gt;0,0,M2))</f>
        <v/>
      </c>
      <c r="N66" s="49"/>
      <c r="O66" s="63"/>
      <c r="P66" s="68" t="str">
        <f>IF(ISBLANK(L66),"",IF(M66=0,0,IF(L66=1,F66+(M66-1)*H66,(F66+(L66-1)*G66)+(H66+(L66-1)*G66)*(M66-1))))</f>
        <v/>
      </c>
      <c r="Q66" s="72"/>
      <c r="R66" s="73"/>
      <c r="S66" s="64" t="str">
        <f>IF(ISBLANK(L66),"",IF(M66=0,"",IF(P66&gt;19900,19900,P66)))</f>
        <v/>
      </c>
    </row>
    <row r="67" spans="1:19" x14ac:dyDescent="0.4">
      <c r="A67" s="45" t="s">
        <v>3</v>
      </c>
      <c r="B67" s="46" t="s">
        <v>108</v>
      </c>
      <c r="C67" s="46" t="s">
        <v>1</v>
      </c>
      <c r="D67" s="47" t="s">
        <v>209</v>
      </c>
      <c r="E67" s="67" t="str">
        <f>IF('National currencies'!E67="","",'National currencies'!E67)</f>
        <v>1.1.4</v>
      </c>
      <c r="F67" s="66">
        <f>'National currencies'!F67</f>
        <v>140</v>
      </c>
      <c r="G67" s="65">
        <f>'National currencies'!G67</f>
        <v>140</v>
      </c>
      <c r="H67" s="66">
        <f>'National currencies'!H67</f>
        <v>140</v>
      </c>
      <c r="I67" s="48"/>
      <c r="J67" s="48"/>
      <c r="K67" s="61"/>
      <c r="L67" s="220"/>
      <c r="M67" s="62" t="str">
        <f>IF(ISBLANK(L67),"",IF((N2+O2)&gt;0,0,M2))</f>
        <v/>
      </c>
      <c r="N67" s="49"/>
      <c r="O67" s="63"/>
      <c r="P67" s="68" t="str">
        <f>IF(ISBLANK(L67),"",IF(M67=0,0,IF(L67=1,F67+(M67-1)*H67,(F67+(L67-1)*G67)+(H67+(L67-1)*G67)*(M67-1))))</f>
        <v/>
      </c>
      <c r="Q67" s="72"/>
      <c r="R67" s="73"/>
      <c r="S67" s="64" t="str">
        <f>IF(ISBLANK(L67),"",IF(M67=0,"",P67))</f>
        <v/>
      </c>
    </row>
    <row r="68" spans="1:19" x14ac:dyDescent="0.4">
      <c r="A68" s="45" t="s">
        <v>3</v>
      </c>
      <c r="B68" s="46" t="s">
        <v>109</v>
      </c>
      <c r="C68" s="46" t="s">
        <v>1</v>
      </c>
      <c r="D68" s="47"/>
      <c r="E68" s="67" t="str">
        <f>IF('National currencies'!E68="","",'National currencies'!E68)</f>
        <v>1.2.1 / 1.2.2</v>
      </c>
      <c r="F68" s="66">
        <f>'National currencies'!F68</f>
        <v>1800</v>
      </c>
      <c r="G68" s="65">
        <f>'National currencies'!G68</f>
        <v>900</v>
      </c>
      <c r="H68" s="66">
        <f>'National currencies'!H68</f>
        <v>300</v>
      </c>
      <c r="I68" s="48">
        <f>'National currencies'!I68</f>
        <v>1400</v>
      </c>
      <c r="J68" s="48"/>
      <c r="K68" s="61"/>
      <c r="L68" s="220"/>
      <c r="M68" s="62" t="str">
        <f>IF(ISBLANK(L68),"",IF(O2&gt;0,0,IF(N2=0,0,M2)))</f>
        <v/>
      </c>
      <c r="N68" s="62" t="str">
        <f>IF(ISBLANK(L68),"",IF(O2&gt;0,0,N2))</f>
        <v/>
      </c>
      <c r="O68" s="63"/>
      <c r="P68" s="68" t="str">
        <f>IF(ISBLANK(L68),"",IF(M68=0,0,IF(L68=1,H68+(M68-1)*H68,(H68+(L68-1)*G66)+(H68+(L68-1)*G66)*(M68-1))))</f>
        <v/>
      </c>
      <c r="Q68" s="72" t="str">
        <f>IF(ISBLANK(L68),"",IF(N68=0,0,IF(L68=1,F68+(N68-1)*I68,(F68+(L68-1)*G68)+(I68+(L68-1)*G68)*(N68-1))))</f>
        <v/>
      </c>
      <c r="R68" s="73"/>
      <c r="S68" s="64" t="str">
        <f>IF(ISBLANK(L68),"",IF(N68=0,"",IF(P68+Q68&gt;19900,19900,P68+Q68)))</f>
        <v/>
      </c>
    </row>
    <row r="69" spans="1:19" x14ac:dyDescent="0.4">
      <c r="A69" s="45" t="s">
        <v>3</v>
      </c>
      <c r="B69" s="46" t="s">
        <v>110</v>
      </c>
      <c r="C69" s="46" t="s">
        <v>1</v>
      </c>
      <c r="D69" s="47" t="s">
        <v>4</v>
      </c>
      <c r="E69" s="67" t="str">
        <f>IF('National currencies'!E69="","",'National currencies'!E69)</f>
        <v>1.3.1 / 1.3.2</v>
      </c>
      <c r="F69" s="66">
        <f>'National currencies'!F69</f>
        <v>4300</v>
      </c>
      <c r="G69" s="65">
        <f>'National currencies'!G69</f>
        <v>1900</v>
      </c>
      <c r="H69" s="66">
        <f>'National currencies'!H69</f>
        <v>300</v>
      </c>
      <c r="I69" s="48">
        <f>'National currencies'!I69</f>
        <v>1400</v>
      </c>
      <c r="J69" s="48">
        <f>'National currencies'!J69</f>
        <v>3500</v>
      </c>
      <c r="K69" s="61"/>
      <c r="L69" s="220"/>
      <c r="M69" s="62" t="str">
        <f>IF(ISBLANK(L69),"",IF(O2=0,0,M2))</f>
        <v/>
      </c>
      <c r="N69" s="62" t="str">
        <f>IF(ISBLANK(L69),"",IF(O2=0,0,N2))</f>
        <v/>
      </c>
      <c r="O69" s="63" t="str">
        <f>IF(ISBLANK(L69),"",O2)</f>
        <v/>
      </c>
      <c r="P69" s="68" t="str">
        <f>IF(ISBLANK(L69),"",IF(M69=0,0,IF(L69=1,H69+(M69-1)*H69,(H69+(L69-1)*G66)+(H69+(L69-1)*G66)*(M69-1))))</f>
        <v/>
      </c>
      <c r="Q69" s="72" t="str">
        <f>IF(ISBLANK(L69),"",IF(N69=0,0,IF(L69=1,I69+(N69-1)*I69,(I69+(L69-1)*G68)+(I69+(L69-1)*G68)*(N69-1))))</f>
        <v/>
      </c>
      <c r="R69" s="73" t="str">
        <f>IF(ISBLANK(L69),"",IF(O69=0,0,IF(L69=1,F69+(O69-1)*J69,(F69+(L69-1)*G69)+(J69+(L69-1)*G69)*(O69-1))))</f>
        <v/>
      </c>
      <c r="S69" s="64" t="str">
        <f>IF(ISBLANK(L69),"",IF(O69=0,"",IF(P69+Q69+R69&gt;19900,19900,P69+Q69+R69)))</f>
        <v/>
      </c>
    </row>
    <row r="70" spans="1:19" x14ac:dyDescent="0.4">
      <c r="A70" s="45" t="s">
        <v>3</v>
      </c>
      <c r="B70" s="46" t="s">
        <v>110</v>
      </c>
      <c r="C70" s="46" t="s">
        <v>1</v>
      </c>
      <c r="D70" s="47" t="s">
        <v>5</v>
      </c>
      <c r="E70" s="67" t="str">
        <f>IF('National currencies'!E70="","",'National currencies'!E70)</f>
        <v>1.4.1 / 1.4.2</v>
      </c>
      <c r="F70" s="66">
        <f>'National currencies'!F70</f>
        <v>7500</v>
      </c>
      <c r="G70" s="65">
        <f>'National currencies'!G70</f>
        <v>2900</v>
      </c>
      <c r="H70" s="66">
        <f>'National currencies'!H70</f>
        <v>300</v>
      </c>
      <c r="I70" s="48">
        <f>'National currencies'!I70</f>
        <v>1400</v>
      </c>
      <c r="J70" s="48">
        <f>'National currencies'!J70</f>
        <v>6000</v>
      </c>
      <c r="K70" s="61"/>
      <c r="L70" s="220"/>
      <c r="M70" s="62" t="str">
        <f>IF(ISBLANK(L70),"",IF(O2=0,0,M2))</f>
        <v/>
      </c>
      <c r="N70" s="62" t="str">
        <f>IF(ISBLANK(L70),"",IF(O2=0,0,N2))</f>
        <v/>
      </c>
      <c r="O70" s="63" t="str">
        <f>IF(ISBLANK(L70),"",O2)</f>
        <v/>
      </c>
      <c r="P70" s="68" t="str">
        <f>IF(ISBLANK(L70),"",IF(M70=0,0,IF(L70=1,H70+(M70-1)*H70,(H70+(L70-1)*G66)+(H70+(L70-1)*G66)*(M70-1))))</f>
        <v/>
      </c>
      <c r="Q70" s="72" t="str">
        <f>IF(ISBLANK(L70),"",IF(N70=0,0,IF(L70=1,I70+(N70-1)*I70,(I70+(L70-1)*G68)+(I70+(L70-1)*G68)*(N70-1))))</f>
        <v/>
      </c>
      <c r="R70" s="73" t="str">
        <f>IF(ISBLANK(L70),"",IF(O70=0,0,IF(L70=1,F70+(O70-1)*J70,(F70+(L70-1)*G70)+(J70+(L70-1)*G70)*(O70-1))))</f>
        <v/>
      </c>
      <c r="S70" s="64" t="str">
        <f>IF(ISBLANK(L70),"",IF(O70=0,"",IF(P70+Q70+R70&gt;19900,19900,P70+Q70+R70)))</f>
        <v/>
      </c>
    </row>
    <row r="71" spans="1:19" x14ac:dyDescent="0.4">
      <c r="A71" s="45" t="s">
        <v>3</v>
      </c>
      <c r="B71" s="46" t="s">
        <v>108</v>
      </c>
      <c r="C71" s="46" t="s">
        <v>2</v>
      </c>
      <c r="D71" s="47"/>
      <c r="E71" s="67" t="str">
        <f>IF('National currencies'!E71="","",'National currencies'!E71)</f>
        <v>2.1.1 / 2.1.2</v>
      </c>
      <c r="F71" s="66">
        <f>'National currencies'!F71</f>
        <v>190</v>
      </c>
      <c r="G71" s="65">
        <f>'National currencies'!G71</f>
        <v>120</v>
      </c>
      <c r="H71" s="66">
        <f>'National currencies'!H71</f>
        <v>150</v>
      </c>
      <c r="I71" s="48"/>
      <c r="J71" s="48"/>
      <c r="K71" s="61"/>
      <c r="L71" s="220"/>
      <c r="M71" s="62" t="str">
        <f>IF(ISBLANK(L71),"",IF((N2+O2)&gt;0,0,M2))</f>
        <v/>
      </c>
      <c r="N71" s="49"/>
      <c r="O71" s="63"/>
      <c r="P71" s="68" t="str">
        <f>IF(ISBLANK(L71),"",IF(M71=0,0,IF(L71=1,F71+(M71-1)*H71,(F71+(L71-1)*G71)+(H71+(L71-1)*G71)*(M71-1))))</f>
        <v/>
      </c>
      <c r="Q71" s="72"/>
      <c r="R71" s="73"/>
      <c r="S71" s="64" t="str">
        <f>IF(ISBLANK(L71),"",IF(M71=0,"",IF(P71&gt;11900,11900,P71)))</f>
        <v/>
      </c>
    </row>
    <row r="72" spans="1:19" x14ac:dyDescent="0.4">
      <c r="A72" s="45" t="s">
        <v>3</v>
      </c>
      <c r="B72" s="46" t="s">
        <v>108</v>
      </c>
      <c r="C72" s="46" t="s">
        <v>2</v>
      </c>
      <c r="D72" s="47" t="s">
        <v>209</v>
      </c>
      <c r="E72" s="67" t="str">
        <f>IF('National currencies'!E72="","",'National currencies'!E72)</f>
        <v>2.1.4</v>
      </c>
      <c r="F72" s="66">
        <f>'National currencies'!F72</f>
        <v>140</v>
      </c>
      <c r="G72" s="65">
        <f>'National currencies'!G72</f>
        <v>140</v>
      </c>
      <c r="H72" s="66">
        <f>'National currencies'!H72</f>
        <v>140</v>
      </c>
      <c r="I72" s="48"/>
      <c r="J72" s="48"/>
      <c r="K72" s="61"/>
      <c r="L72" s="220"/>
      <c r="M72" s="62" t="str">
        <f>IF(ISBLANK(L72),"",IF((N2+O2)&gt;0,0,M2))</f>
        <v/>
      </c>
      <c r="N72" s="49"/>
      <c r="O72" s="63"/>
      <c r="P72" s="68" t="str">
        <f>IF(ISBLANK(L72),"",IF(M72=0,0,IF(L72=1,F72+(M72-1)*H72,(F72+(L72-1)*G72)+(H72+(L72-1)*G72)*(M72-1))))</f>
        <v/>
      </c>
      <c r="Q72" s="72"/>
      <c r="R72" s="73"/>
      <c r="S72" s="64" t="str">
        <f>IF(ISBLANK(L72),"",IF(M72=0,"",P72))</f>
        <v/>
      </c>
    </row>
    <row r="73" spans="1:19" x14ac:dyDescent="0.4">
      <c r="A73" s="45" t="s">
        <v>3</v>
      </c>
      <c r="B73" s="46" t="s">
        <v>109</v>
      </c>
      <c r="C73" s="46" t="s">
        <v>2</v>
      </c>
      <c r="D73" s="47"/>
      <c r="E73" s="67" t="str">
        <f>IF('National currencies'!E73="","",'National currencies'!E73)</f>
        <v>2.2.1 / 2.2.2</v>
      </c>
      <c r="F73" s="66">
        <f>'National currencies'!F73</f>
        <v>400</v>
      </c>
      <c r="G73" s="65">
        <f>'National currencies'!G73</f>
        <v>220</v>
      </c>
      <c r="H73" s="66">
        <f>'National currencies'!H73</f>
        <v>150</v>
      </c>
      <c r="I73" s="48">
        <f>'National currencies'!I73</f>
        <v>320</v>
      </c>
      <c r="J73" s="48"/>
      <c r="K73" s="61"/>
      <c r="L73" s="220"/>
      <c r="M73" s="62" t="str">
        <f>IF(ISBLANK(L73),"",IF(O2&gt;0,0,IF(N2=0,0,M2)))</f>
        <v/>
      </c>
      <c r="N73" s="49" t="str">
        <f>IF(ISBLANK(L73),"",IF(O2&gt;0,0,N2))</f>
        <v/>
      </c>
      <c r="O73" s="63"/>
      <c r="P73" s="68" t="str">
        <f>IF(ISBLANK(L73),"",IF(M73=0,0,IF(L73=1,H73+(M73-1)*H73,(H73+(L73-1)*G71)+(H73+(L73-1)*G71)*(M73-1))))</f>
        <v/>
      </c>
      <c r="Q73" s="72" t="str">
        <f>IF(ISBLANK(L73),"",IF(N73=0,0,IF(L73=1,F73+(N73-1)*I73,(F73+(L73-1)*G73)+(I73+(L73-1)*G73)*(N73-1))))</f>
        <v/>
      </c>
      <c r="R73" s="73"/>
      <c r="S73" s="64" t="str">
        <f>IF(ISBLANK(L73),"",IF(N73=0,"",IF(P73+Q73&gt;11900,11900,P73+Q73)))</f>
        <v/>
      </c>
    </row>
    <row r="74" spans="1:19" x14ac:dyDescent="0.4">
      <c r="A74" s="45" t="s">
        <v>3</v>
      </c>
      <c r="B74" s="46" t="s">
        <v>110</v>
      </c>
      <c r="C74" s="46" t="s">
        <v>2</v>
      </c>
      <c r="D74" s="47" t="s">
        <v>4</v>
      </c>
      <c r="E74" s="67" t="str">
        <f>IF('National currencies'!E74="","",'National currencies'!E74)</f>
        <v>2.3.1 / 2.3.2</v>
      </c>
      <c r="F74" s="66">
        <f>'National currencies'!F74</f>
        <v>1700</v>
      </c>
      <c r="G74" s="65">
        <f>'National currencies'!G74</f>
        <v>1100</v>
      </c>
      <c r="H74" s="66">
        <f>'National currencies'!H74</f>
        <v>150</v>
      </c>
      <c r="I74" s="48">
        <f>'National currencies'!I74</f>
        <v>320</v>
      </c>
      <c r="J74" s="48">
        <f>'National currencies'!J74</f>
        <v>1400</v>
      </c>
      <c r="K74" s="61"/>
      <c r="L74" s="220"/>
      <c r="M74" s="62" t="str">
        <f>IF(ISBLANK(L74),"",IF(O2=0,0,M2))</f>
        <v/>
      </c>
      <c r="N74" s="49" t="str">
        <f>IF(ISBLANK(L74),"",IF(O2=0,0,N2))</f>
        <v/>
      </c>
      <c r="O74" s="63" t="str">
        <f>IF(ISBLANK(L74),"",O2)</f>
        <v/>
      </c>
      <c r="P74" s="68" t="str">
        <f>IF(ISBLANK(L74),"",IF(M74=0,0,IF(L74=1,H74+(M74-1)*H74,(H74+(L74-1)*G71)+(H74+(L74-1)*G71)*(M74-1))))</f>
        <v/>
      </c>
      <c r="Q74" s="72" t="str">
        <f>IF(ISBLANK(L74),"",IF(N74=0,0,IF(L74=1,I74+(N74-1)*I74,(I74+(L74-1)*G73)+(I74+(L74-1)*G73)*(N74-1))))</f>
        <v/>
      </c>
      <c r="R74" s="73" t="str">
        <f>IF(ISBLANK(L74),"",IF(O74=0,0,IF(L74=1,F74+(O74-1)*J74,(F74+(L74-1)*G74)+(J74+(L74-1)*G74)*(O74-1))))</f>
        <v/>
      </c>
      <c r="S74" s="64" t="str">
        <f>IF(ISBLANK(L74),"",IF(O74=0,"",IF(P74+Q74+R74&gt;11900,11900,P74+Q74+R74)))</f>
        <v/>
      </c>
    </row>
    <row r="75" spans="1:19" x14ac:dyDescent="0.4">
      <c r="A75" s="45" t="s">
        <v>3</v>
      </c>
      <c r="B75" s="46" t="s">
        <v>110</v>
      </c>
      <c r="C75" s="46" t="s">
        <v>2</v>
      </c>
      <c r="D75" s="47" t="s">
        <v>5</v>
      </c>
      <c r="E75" s="67" t="str">
        <f>IF('National currencies'!E75="","",'National currencies'!E75)</f>
        <v>2.4.1 / 2.4.2</v>
      </c>
      <c r="F75" s="66">
        <f>'National currencies'!F75</f>
        <v>2800</v>
      </c>
      <c r="G75" s="65">
        <f>'National currencies'!G75</f>
        <v>1500</v>
      </c>
      <c r="H75" s="66">
        <f>'National currencies'!H75</f>
        <v>150</v>
      </c>
      <c r="I75" s="48">
        <f>'National currencies'!I75</f>
        <v>320</v>
      </c>
      <c r="J75" s="48">
        <f>'National currencies'!J75</f>
        <v>2200</v>
      </c>
      <c r="K75" s="61"/>
      <c r="L75" s="220"/>
      <c r="M75" s="62" t="str">
        <f>IF(ISBLANK(L75),"",IF(O2=0,0,M2))</f>
        <v/>
      </c>
      <c r="N75" s="49" t="str">
        <f>IF(ISBLANK(L75),"",IF(O2=0,0,N2))</f>
        <v/>
      </c>
      <c r="O75" s="63" t="str">
        <f>IF(ISBLANK(L75),"",O2)</f>
        <v/>
      </c>
      <c r="P75" s="68" t="str">
        <f>IF(ISBLANK(L75),"",IF(M75=0,0,IF(L75=1,H75+(M75-1)*H75,(H75+(L75-1)*G71)+(H75+(L75-1)*G71)*(M75-1))))</f>
        <v/>
      </c>
      <c r="Q75" s="72" t="str">
        <f>IF(ISBLANK(L75),"",IF(N75=0,0,IF(L75=1,I75+(N75-1)*I75,(I75+(L75-1)*G73)+(I75+(L75-1)*G73)*(N75-1))))</f>
        <v/>
      </c>
      <c r="R75" s="73" t="str">
        <f>IF(ISBLANK(L75),"",IF(O75=0,0,IF(L75=1,F75+(O75-1)*J75,(F75+(L75-1)*G75)+(J75+(L75-1)*G75)*(O75-1))))</f>
        <v/>
      </c>
      <c r="S75" s="64" t="str">
        <f>IF(ISBLANK(L75),"",IF(O75=0,"",IF(P75+Q75+R75&gt;11900,11900,P75+Q75+R75)))</f>
        <v/>
      </c>
    </row>
    <row r="76" spans="1:19" x14ac:dyDescent="0.4">
      <c r="A76" s="45" t="s">
        <v>3</v>
      </c>
      <c r="B76" s="46" t="s">
        <v>108</v>
      </c>
      <c r="C76" s="46" t="s">
        <v>0</v>
      </c>
      <c r="D76" s="47"/>
      <c r="E76" s="67" t="str">
        <f>IF('National currencies'!E76="","",'National currencies'!E76)</f>
        <v>3.1.1 / 3.1.2</v>
      </c>
      <c r="F76" s="66">
        <f>'National currencies'!F76</f>
        <v>250</v>
      </c>
      <c r="G76" s="65">
        <f>'National currencies'!G76</f>
        <v>150</v>
      </c>
      <c r="H76" s="66">
        <f>'National currencies'!H76</f>
        <v>200</v>
      </c>
      <c r="I76" s="48"/>
      <c r="J76" s="48"/>
      <c r="K76" s="61"/>
      <c r="L76" s="220"/>
      <c r="M76" s="62" t="str">
        <f>IF(ISBLANK(L76),"",IF((N2+O2)&gt;0,0,M2))</f>
        <v/>
      </c>
      <c r="N76" s="49"/>
      <c r="O76" s="63"/>
      <c r="P76" s="68" t="str">
        <f>IF(ISBLANK(L76),"",IF(M76=0,0,IF(L76=1,F76+(M76-1)*H76,(F76+(L76-1)*G76)+(H76+(L76-1)*G76)*(M76-1))))</f>
        <v/>
      </c>
      <c r="Q76" s="72"/>
      <c r="R76" s="73"/>
      <c r="S76" s="64" t="str">
        <f>IF(ISBLANK(L76),"",IF(M76=0,"",IF(P76&gt;15600,15600,P76)))</f>
        <v/>
      </c>
    </row>
    <row r="77" spans="1:19" x14ac:dyDescent="0.4">
      <c r="A77" s="45" t="s">
        <v>3</v>
      </c>
      <c r="B77" s="46" t="s">
        <v>108</v>
      </c>
      <c r="C77" s="46" t="s">
        <v>0</v>
      </c>
      <c r="D77" s="47" t="s">
        <v>209</v>
      </c>
      <c r="E77" s="67" t="str">
        <f>IF('National currencies'!E77="","",'National currencies'!E77)</f>
        <v>3.1.4</v>
      </c>
      <c r="F77" s="66">
        <f>'National currencies'!F77</f>
        <v>140</v>
      </c>
      <c r="G77" s="65">
        <f>'National currencies'!G77</f>
        <v>140</v>
      </c>
      <c r="H77" s="66">
        <f>'National currencies'!H77</f>
        <v>140</v>
      </c>
      <c r="I77" s="48"/>
      <c r="J77" s="48"/>
      <c r="K77" s="61"/>
      <c r="L77" s="220"/>
      <c r="M77" s="62" t="str">
        <f>IF(ISBLANK(L77),"",IF((N2+O2)&gt;0,0,M2))</f>
        <v/>
      </c>
      <c r="N77" s="49"/>
      <c r="O77" s="63"/>
      <c r="P77" s="68" t="str">
        <f>IF(ISBLANK(L77),"",IF(M77=0,0,IF(L77=1,F77+(M77-1)*H77,(F77+(L77-1)*G77)+(H77+(L77-1)*G77)*(M77-1))))</f>
        <v/>
      </c>
      <c r="Q77" s="72"/>
      <c r="R77" s="73"/>
      <c r="S77" s="64" t="str">
        <f>IF(ISBLANK(L77),"",IF(M77=0,"",P77))</f>
        <v/>
      </c>
    </row>
    <row r="78" spans="1:19" x14ac:dyDescent="0.4">
      <c r="A78" s="45" t="s">
        <v>3</v>
      </c>
      <c r="B78" s="46" t="s">
        <v>109</v>
      </c>
      <c r="C78" s="46" t="s">
        <v>0</v>
      </c>
      <c r="D78" s="47"/>
      <c r="E78" s="67" t="str">
        <f>IF('National currencies'!E78="","",'National currencies'!E78)</f>
        <v>3.2.1 / 3.2.2</v>
      </c>
      <c r="F78" s="66">
        <f>'National currencies'!F78</f>
        <v>760</v>
      </c>
      <c r="G78" s="65">
        <f>'National currencies'!G78</f>
        <v>360</v>
      </c>
      <c r="H78" s="66">
        <f>'National currencies'!H78</f>
        <v>200</v>
      </c>
      <c r="I78" s="48">
        <f>'National currencies'!I78</f>
        <v>560</v>
      </c>
      <c r="J78" s="48"/>
      <c r="K78" s="61"/>
      <c r="L78" s="220"/>
      <c r="M78" s="62" t="str">
        <f>IF(ISBLANK(L78),"",IF(O2&gt;0,0,IF(N2=0,0,M2)))</f>
        <v/>
      </c>
      <c r="N78" s="49" t="str">
        <f>IF(ISBLANK(L78),"",IF(O2&gt;0,0,N2))</f>
        <v/>
      </c>
      <c r="O78" s="63"/>
      <c r="P78" s="68" t="str">
        <f>IF(ISBLANK(L78),"",IF(M78=0,0,IF(L78=1,H78+(M78-1)*H78,(H78+(L78-1)*G76)+(H78+(L78-1)*G76)*(M78-1))))</f>
        <v/>
      </c>
      <c r="Q78" s="72" t="str">
        <f>IF(ISBLANK(L78),"",IF(N78=0,0,IF(L78=1,F78+(N78-1)*I78,(F78+(L78-1)*G78)+(I78+(L78-1)*G78)*(N78-1))))</f>
        <v/>
      </c>
      <c r="R78" s="73"/>
      <c r="S78" s="64" t="str">
        <f>IF(ISBLANK(L78),"",IF(N78=0,"",IF(P78+Q78&gt;16000,16000,P78+Q78)))</f>
        <v/>
      </c>
    </row>
    <row r="79" spans="1:19" x14ac:dyDescent="0.4">
      <c r="A79" s="45" t="s">
        <v>3</v>
      </c>
      <c r="B79" s="46" t="s">
        <v>110</v>
      </c>
      <c r="C79" s="46" t="s">
        <v>0</v>
      </c>
      <c r="D79" s="47" t="s">
        <v>4</v>
      </c>
      <c r="E79" s="67" t="str">
        <f>IF('National currencies'!E79="","",'National currencies'!E79)</f>
        <v>3.3.1 / 3.3.2</v>
      </c>
      <c r="F79" s="66">
        <f>'National currencies'!F79</f>
        <v>1600</v>
      </c>
      <c r="G79" s="65">
        <f>'National currencies'!G79</f>
        <v>810</v>
      </c>
      <c r="H79" s="66">
        <f>'National currencies'!H79</f>
        <v>200</v>
      </c>
      <c r="I79" s="48">
        <f>'National currencies'!I79</f>
        <v>560</v>
      </c>
      <c r="J79" s="48">
        <f>'National currencies'!J79</f>
        <v>1300</v>
      </c>
      <c r="K79" s="61"/>
      <c r="L79" s="220"/>
      <c r="M79" s="62" t="str">
        <f>IF(ISBLANK(L79),"",IF(O2=0,0,M2))</f>
        <v/>
      </c>
      <c r="N79" s="49" t="str">
        <f>IF(ISBLANK(L79),"",IF(O2=0,0,N2))</f>
        <v/>
      </c>
      <c r="O79" s="63" t="str">
        <f>IF(ISBLANK(L79),"",O2)</f>
        <v/>
      </c>
      <c r="P79" s="68" t="str">
        <f>IF(ISBLANK(L79),"",IF(M79=0,0,IF(L79=1,H79+(M79-1)*H79,(H79+(L79-1)*G76)+(H79+(L79-1)*G76)*(M79-1))))</f>
        <v/>
      </c>
      <c r="Q79" s="72" t="str">
        <f>IF(ISBLANK(L79),"",IF(N79=0,0,IF(L79=1,I79+(N79-1)*I79,(I79+(L79-1)*G78)+(I79+(L79-1)*G78)*(N79-1))))</f>
        <v/>
      </c>
      <c r="R79" s="73" t="str">
        <f>IF(ISBLANK(L79),"",IF(O79=0,0,IF(L79=1,F79+(O79-1)*J79,(F79+(L79-1)*G79)+(J79+(L79-1)*G79)*(O79-1))))</f>
        <v/>
      </c>
      <c r="S79" s="64" t="str">
        <f>IF(ISBLANK(L79),"",IF(O79=0,"",IF(P79+Q79+R79&gt;16000,16000,P79+Q79+R79)))</f>
        <v/>
      </c>
    </row>
    <row r="80" spans="1:19" x14ac:dyDescent="0.4">
      <c r="A80" s="45" t="s">
        <v>3</v>
      </c>
      <c r="B80" s="46" t="s">
        <v>110</v>
      </c>
      <c r="C80" s="46" t="s">
        <v>0</v>
      </c>
      <c r="D80" s="47" t="s">
        <v>5</v>
      </c>
      <c r="E80" s="67" t="str">
        <f>IF('National currencies'!E80="","",'National currencies'!E80)</f>
        <v>3.4.1 / 3.4.2</v>
      </c>
      <c r="F80" s="66">
        <f>'National currencies'!F80</f>
        <v>3750</v>
      </c>
      <c r="G80" s="65">
        <f>'National currencies'!G80</f>
        <v>1900</v>
      </c>
      <c r="H80" s="66">
        <f>'National currencies'!H80</f>
        <v>200</v>
      </c>
      <c r="I80" s="48">
        <f>'National currencies'!I80</f>
        <v>560</v>
      </c>
      <c r="J80" s="48">
        <f>'National currencies'!J80</f>
        <v>3000</v>
      </c>
      <c r="K80" s="61"/>
      <c r="L80" s="220"/>
      <c r="M80" s="62" t="str">
        <f>IF(ISBLANK(L80),"",IF(O2=0,0,M2))</f>
        <v/>
      </c>
      <c r="N80" s="49" t="str">
        <f>IF(ISBLANK(L80),"",IF(O2=0,0,N2))</f>
        <v/>
      </c>
      <c r="O80" s="63" t="str">
        <f>IF(ISBLANK(L80),"",O2)</f>
        <v/>
      </c>
      <c r="P80" s="68" t="str">
        <f>IF(ISBLANK(L80),"",IF(M80=0,0,IF(L80=1,H80+(M80-1)*H80,(H80+(L80-1)*G76)+(H80+(L80-1)*G76)*(M80-1))))</f>
        <v/>
      </c>
      <c r="Q80" s="72" t="str">
        <f>IF(ISBLANK(L80),"",IF(N80=0,0,IF(L80=1,I80+(N80-1)*I80,(I80+(L80-1)*G78)+(I80+(L80-1)*G78)*(N80-1))))</f>
        <v/>
      </c>
      <c r="R80" s="73" t="str">
        <f>IF(ISBLANK(L80),"",IF(O80=0,0,IF(L80=1,F80+(O80-1)*J80,(F80+(L80-1)*G80)+(J80+(L80-1)*G80)*(O80-1))))</f>
        <v/>
      </c>
      <c r="S80" s="64" t="str">
        <f>IF(ISBLANK(L80),"",IF(O80=0,"",IF(P80+Q80+R80&gt;16000,16000,P80+Q80+R80)))</f>
        <v/>
      </c>
    </row>
    <row r="81" spans="1:19" x14ac:dyDescent="0.4">
      <c r="A81" s="45" t="s">
        <v>14</v>
      </c>
      <c r="B81" s="46" t="s">
        <v>108</v>
      </c>
      <c r="C81" s="46" t="s">
        <v>1</v>
      </c>
      <c r="D81" s="47" t="s">
        <v>297</v>
      </c>
      <c r="E81" s="67">
        <f>IF('National currencies'!E81="","",'National currencies'!E81)</f>
        <v>3102</v>
      </c>
      <c r="F81" s="66">
        <f>'National currencies'!F81/'Exchange rates'!B3</f>
        <v>1053.3633695862884</v>
      </c>
      <c r="G81" s="65">
        <v>0</v>
      </c>
      <c r="H81" s="66"/>
      <c r="I81" s="48"/>
      <c r="J81" s="48"/>
      <c r="K81" s="61"/>
      <c r="L81" s="220"/>
      <c r="M81" s="62" t="str">
        <f>IF(ISBLANK(L81),"",IF(M2&gt;1,0,IF((N2+O2)&gt;0,0,M2)))</f>
        <v/>
      </c>
      <c r="N81" s="49"/>
      <c r="O81" s="63"/>
      <c r="P81" s="69" t="str">
        <f>IF(ISBLANK(L81),"",IF(M81=0,0,IF(M81&gt;1,0,F81)))</f>
        <v/>
      </c>
      <c r="Q81" s="74"/>
      <c r="R81" s="75"/>
      <c r="S81" s="64" t="str">
        <f>IF(ISBLANK(L81),"",IF(M81=0,"",P81+Q81+R81))</f>
        <v/>
      </c>
    </row>
    <row r="82" spans="1:19" x14ac:dyDescent="0.4">
      <c r="A82" s="45" t="s">
        <v>14</v>
      </c>
      <c r="B82" s="46" t="s">
        <v>108</v>
      </c>
      <c r="C82" s="46" t="s">
        <v>1</v>
      </c>
      <c r="D82" s="52" t="s">
        <v>279</v>
      </c>
      <c r="E82" s="67" t="str">
        <f>IF('National currencies'!E82="","",'National currencies'!E82)</f>
        <v>3117</v>
      </c>
      <c r="F82" s="66"/>
      <c r="G82" s="65"/>
      <c r="H82" s="66"/>
      <c r="I82" s="48"/>
      <c r="J82" s="48"/>
      <c r="K82" s="61">
        <f>'National currencies'!K82/'Exchange rates'!B3</f>
        <v>1341.2033663776681</v>
      </c>
      <c r="L82" s="220"/>
      <c r="M82" s="62" t="str">
        <f>IF(ISBLANK(L82),"",IF(M2&lt;2,0,IF((N2+O2)&gt;0,0,M2)))</f>
        <v/>
      </c>
      <c r="N82" s="49"/>
      <c r="O82" s="63"/>
      <c r="P82" s="69" t="str">
        <f>IF(ISBLANK(L82),"",IF(M82=0,0,IF(M82&gt;1,K82,0)))</f>
        <v/>
      </c>
      <c r="Q82" s="74"/>
      <c r="R82" s="75"/>
      <c r="S82" s="64" t="str">
        <f>IF(ISBLANK(L82),"",IF(M82=0,"",P82+Q82+R82))</f>
        <v/>
      </c>
    </row>
    <row r="83" spans="1:19" x14ac:dyDescent="0.4">
      <c r="A83" s="45" t="s">
        <v>14</v>
      </c>
      <c r="B83" s="46" t="s">
        <v>108</v>
      </c>
      <c r="C83" s="46" t="s">
        <v>1</v>
      </c>
      <c r="D83" s="52" t="s">
        <v>280</v>
      </c>
      <c r="E83" s="67" t="str">
        <f>IF('National currencies'!E83="","",'National currencies'!E83)</f>
        <v>3118</v>
      </c>
      <c r="F83" s="66"/>
      <c r="G83" s="65"/>
      <c r="H83" s="66"/>
      <c r="I83" s="48"/>
      <c r="J83" s="48"/>
      <c r="K83" s="61">
        <f>'National currencies'!K83/'Exchange rates'!B3</f>
        <v>1772.4954377427355</v>
      </c>
      <c r="L83" s="220"/>
      <c r="M83" s="62" t="str">
        <f>IF(ISBLANK(L83),"",IF(M2&lt;2,0,IF((N2+O2)&gt;0,0,M2)))</f>
        <v/>
      </c>
      <c r="N83" s="49"/>
      <c r="O83" s="63"/>
      <c r="P83" s="69" t="str">
        <f>IF(ISBLANK(L83),"",IF(M83=0,0,IF(M83&gt;1,K83,0)))</f>
        <v/>
      </c>
      <c r="Q83" s="74"/>
      <c r="R83" s="75"/>
      <c r="S83" s="64" t="str">
        <f>IF(ISBLANK(L83),"",IF(M83=0,"",P83+Q83+R83))</f>
        <v/>
      </c>
    </row>
    <row r="84" spans="1:19" x14ac:dyDescent="0.4">
      <c r="A84" s="45" t="s">
        <v>14</v>
      </c>
      <c r="B84" s="46" t="s">
        <v>109</v>
      </c>
      <c r="C84" s="46" t="s">
        <v>1</v>
      </c>
      <c r="D84" s="53" t="s">
        <v>293</v>
      </c>
      <c r="E84" s="67">
        <f>IF('National currencies'!E84="","",'National currencies'!E84)</f>
        <v>3102</v>
      </c>
      <c r="F84" s="66">
        <f>'National currencies'!F84/'Exchange rates'!B3</f>
        <v>1053.3633695862884</v>
      </c>
      <c r="G84" s="65">
        <v>0</v>
      </c>
      <c r="H84" s="66"/>
      <c r="I84" s="48"/>
      <c r="J84" s="48"/>
      <c r="K84" s="61"/>
      <c r="L84" s="220"/>
      <c r="M84" s="62" t="str">
        <f>IF(ISBLANK(L84),"",IF(O2&gt;0,0,IF(N2=0,0,M2)))</f>
        <v/>
      </c>
      <c r="N84" s="49" t="str">
        <f>IF(ISBLANK(L84),"",IF(O2&gt;0,0,N2))</f>
        <v/>
      </c>
      <c r="O84" s="63"/>
      <c r="P84" s="70"/>
      <c r="Q84" s="70" t="str">
        <f>IF(ISBLANK(L84),"",IF(N84=0,0,F84))</f>
        <v/>
      </c>
      <c r="R84" s="75"/>
      <c r="S84" s="64" t="str">
        <f>IF(ISBLANK(L84),"",IF(N84=0,"",P84+Q84+R84))</f>
        <v/>
      </c>
    </row>
    <row r="85" spans="1:19" x14ac:dyDescent="0.4">
      <c r="A85" s="45" t="s">
        <v>14</v>
      </c>
      <c r="B85" s="46" t="s">
        <v>109</v>
      </c>
      <c r="C85" s="46" t="s">
        <v>1</v>
      </c>
      <c r="D85" s="47" t="s">
        <v>295</v>
      </c>
      <c r="E85" s="67" t="str">
        <f>IF('National currencies'!E85="","",'National currencies'!E85)</f>
        <v>3106 / 3124</v>
      </c>
      <c r="F85" s="66">
        <f>'National currencies'!F85/'Exchange rates'!B3</f>
        <v>2561.0139240760177</v>
      </c>
      <c r="G85" s="65">
        <v>0</v>
      </c>
      <c r="H85" s="66"/>
      <c r="I85" s="48"/>
      <c r="J85" s="48"/>
      <c r="K85" s="61">
        <f>'National currencies'!K85/'Exchange rates'!B3</f>
        <v>4353.1621623428282</v>
      </c>
      <c r="L85" s="220"/>
      <c r="M85" s="62" t="str">
        <f>IF(ISBLANK(L85),"",IF(O2&gt;0,0,IF(N2=0,0,M2)))</f>
        <v/>
      </c>
      <c r="N85" s="49" t="str">
        <f>IF(ISBLANK(L85),"",IF(O2&gt;0,0,N2))</f>
        <v/>
      </c>
      <c r="O85" s="63"/>
      <c r="P85" s="70"/>
      <c r="Q85" s="70" t="str">
        <f>IF(ISBLANK(L85),"",IF(N85=0,0,IF((M85+N85)&gt;1,K85,F85)))</f>
        <v/>
      </c>
      <c r="R85" s="75"/>
      <c r="S85" s="64" t="str">
        <f t="shared" ref="S85:S87" si="2">IF(ISBLANK(L85),"",IF(N85=0,"",P85+Q85+R85))</f>
        <v/>
      </c>
    </row>
    <row r="86" spans="1:19" x14ac:dyDescent="0.4">
      <c r="A86" s="45" t="s">
        <v>14</v>
      </c>
      <c r="B86" s="46" t="s">
        <v>109</v>
      </c>
      <c r="C86" s="46" t="s">
        <v>1</v>
      </c>
      <c r="D86" s="54" t="s">
        <v>296</v>
      </c>
      <c r="E86" s="67" t="str">
        <f>IF('National currencies'!E86="","",'National currencies'!E86)</f>
        <v>3107 / 3125</v>
      </c>
      <c r="F86" s="66">
        <f>'National currencies'!F86/'Exchange rates'!B3</f>
        <v>6970.0595600179149</v>
      </c>
      <c r="G86" s="65">
        <v>0</v>
      </c>
      <c r="H86" s="66"/>
      <c r="I86" s="48"/>
      <c r="J86" s="48"/>
      <c r="K86" s="61">
        <f>'National currencies'!K86/'Exchange rates'!B3</f>
        <v>8085.4562591495824</v>
      </c>
      <c r="L86" s="220"/>
      <c r="M86" s="62" t="str">
        <f>IF(ISBLANK(L86),"",IF(O2&gt;0,0,IF(N2=0,0,M2)))</f>
        <v/>
      </c>
      <c r="N86" s="49" t="str">
        <f>IF(ISBLANK(L86),"",IF(O2&gt;0,0,N2))</f>
        <v/>
      </c>
      <c r="O86" s="63"/>
      <c r="P86" s="70"/>
      <c r="Q86" s="70" t="str">
        <f>IF(ISBLANK(L86),"",IF(N86=0,0,IF((M86+N86)&gt;1,K86,F86)))</f>
        <v/>
      </c>
      <c r="R86" s="75"/>
      <c r="S86" s="64" t="str">
        <f t="shared" si="2"/>
        <v/>
      </c>
    </row>
    <row r="87" spans="1:19" x14ac:dyDescent="0.4">
      <c r="A87" s="45" t="s">
        <v>14</v>
      </c>
      <c r="B87" s="46" t="s">
        <v>109</v>
      </c>
      <c r="C87" s="46" t="s">
        <v>1</v>
      </c>
      <c r="D87" s="53" t="s">
        <v>294</v>
      </c>
      <c r="E87" s="67" t="str">
        <f>IF('National currencies'!E87="","",'National currencies'!E87)</f>
        <v>3112 / 3134</v>
      </c>
      <c r="F87" s="66">
        <f>'National currencies'!F87/'Exchange rates'!B3</f>
        <v>1388.2631336189897</v>
      </c>
      <c r="G87" s="65">
        <v>0</v>
      </c>
      <c r="H87" s="66"/>
      <c r="I87" s="48"/>
      <c r="J87" s="48"/>
      <c r="K87" s="61">
        <f>'National currencies'!K87/'Exchange rates'!B3</f>
        <v>2184.6694786660159</v>
      </c>
      <c r="L87" s="220"/>
      <c r="M87" s="62" t="str">
        <f>IF(ISBLANK(L87),"",IF(O2&gt;0,0,IF(N2=0,0,M2)))</f>
        <v/>
      </c>
      <c r="N87" s="49" t="str">
        <f>IF(ISBLANK(L87),"",IF(O2&gt;0,0,N2))</f>
        <v/>
      </c>
      <c r="O87" s="63"/>
      <c r="P87" s="70"/>
      <c r="Q87" s="70" t="str">
        <f>IF(ISBLANK(L87),"",IF(N87=0,0,IF((M87+N87)&gt;1,K87,F87)))</f>
        <v/>
      </c>
      <c r="R87" s="75"/>
      <c r="S87" s="64" t="str">
        <f t="shared" si="2"/>
        <v/>
      </c>
    </row>
    <row r="88" spans="1:19" x14ac:dyDescent="0.4">
      <c r="A88" s="45" t="s">
        <v>14</v>
      </c>
      <c r="B88" s="46" t="s">
        <v>110</v>
      </c>
      <c r="C88" s="46" t="s">
        <v>1</v>
      </c>
      <c r="D88" s="53" t="s">
        <v>293</v>
      </c>
      <c r="E88" s="67">
        <f>IF('National currencies'!E88="","",'National currencies'!E88)</f>
        <v>3102</v>
      </c>
      <c r="F88" s="66">
        <f>'National currencies'!F88/'Exchange rates'!B3</f>
        <v>1053.3633695862884</v>
      </c>
      <c r="G88" s="65">
        <v>0</v>
      </c>
      <c r="H88" s="66"/>
      <c r="I88" s="48"/>
      <c r="J88" s="48"/>
      <c r="K88" s="61"/>
      <c r="L88" s="220"/>
      <c r="M88" s="62" t="str">
        <f>IF(ISBLANK(L88),"",IF(O2=0,0,M2))</f>
        <v/>
      </c>
      <c r="N88" s="49" t="str">
        <f>IF(ISBLANK(L88),"",IF(O2=0,0,N2))</f>
        <v/>
      </c>
      <c r="O88" s="63" t="str">
        <f>IF(ISBLANK(L88),"",O2)</f>
        <v/>
      </c>
      <c r="P88" s="70"/>
      <c r="Q88" s="70"/>
      <c r="R88" s="71" t="str">
        <f>IF(ISBLANK(L88),"",IF(O88=0,0,F88))</f>
        <v/>
      </c>
      <c r="S88" s="64" t="str">
        <f>IF(ISBLANK(L88),"",IF(O88=0,"",P88+Q88+R88))</f>
        <v/>
      </c>
    </row>
    <row r="89" spans="1:19" x14ac:dyDescent="0.4">
      <c r="A89" s="45" t="s">
        <v>14</v>
      </c>
      <c r="B89" s="46" t="s">
        <v>110</v>
      </c>
      <c r="C89" s="46" t="s">
        <v>1</v>
      </c>
      <c r="D89" s="47" t="s">
        <v>295</v>
      </c>
      <c r="E89" s="67" t="str">
        <f>IF('National currencies'!E89="","",'National currencies'!E89)</f>
        <v>3106 / 3124</v>
      </c>
      <c r="F89" s="66">
        <f>'National currencies'!F89/'Exchange rates'!B3</f>
        <v>2561.0139240760177</v>
      </c>
      <c r="G89" s="65">
        <v>0</v>
      </c>
      <c r="H89" s="66"/>
      <c r="I89" s="48"/>
      <c r="J89" s="48"/>
      <c r="K89" s="61">
        <f>'National currencies'!K89/'Exchange rates'!B3</f>
        <v>4353.1621623428282</v>
      </c>
      <c r="L89" s="220"/>
      <c r="M89" s="62" t="str">
        <f>IF(ISBLANK(L89),"",IF(O2=0,0,M2))</f>
        <v/>
      </c>
      <c r="N89" s="49" t="str">
        <f>IF(ISBLANK(L89),"",IF(O2=0,0,N2))</f>
        <v/>
      </c>
      <c r="O89" s="63" t="str">
        <f>IF(ISBLANK(L89),"",O2)</f>
        <v/>
      </c>
      <c r="P89" s="70"/>
      <c r="Q89" s="70"/>
      <c r="R89" s="71" t="str">
        <f>IF(ISBLANK(L89),"",IF(O89=0,0,IF(AND((M89+N89)=0,O89=1),F89,IF(OR((M89+N89)&gt;0,O89&gt;1),K89,F89))))</f>
        <v/>
      </c>
      <c r="S89" s="64" t="str">
        <f>IF(ISBLANK(L89),"",IF(O89=0,"",P89+Q89+R89))</f>
        <v/>
      </c>
    </row>
    <row r="90" spans="1:19" x14ac:dyDescent="0.4">
      <c r="A90" s="45" t="s">
        <v>14</v>
      </c>
      <c r="B90" s="46" t="s">
        <v>110</v>
      </c>
      <c r="C90" s="46" t="s">
        <v>1</v>
      </c>
      <c r="D90" s="54" t="s">
        <v>296</v>
      </c>
      <c r="E90" s="67" t="str">
        <f>IF('National currencies'!E90="","",'National currencies'!E90)</f>
        <v>3107 / 3125</v>
      </c>
      <c r="F90" s="66">
        <f>'National currencies'!F90/'Exchange rates'!B3</f>
        <v>6970.0595600179149</v>
      </c>
      <c r="G90" s="65">
        <v>0</v>
      </c>
      <c r="H90" s="66"/>
      <c r="I90" s="48"/>
      <c r="J90" s="48"/>
      <c r="K90" s="61">
        <f>'National currencies'!K90/'Exchange rates'!B3</f>
        <v>8085.4562591495824</v>
      </c>
      <c r="L90" s="220"/>
      <c r="M90" s="62" t="str">
        <f>IF(ISBLANK(L90),"",IF(O2=0,0,M2))</f>
        <v/>
      </c>
      <c r="N90" s="49" t="str">
        <f>IF(ISBLANK(L90),"",IF(O2=0,0,N2))</f>
        <v/>
      </c>
      <c r="O90" s="63" t="str">
        <f>IF(ISBLANK(L90),"",O2)</f>
        <v/>
      </c>
      <c r="P90" s="70"/>
      <c r="Q90" s="70"/>
      <c r="R90" s="71" t="str">
        <f>IF(ISBLANK(L90),"",IF(O90=0,0,IF(AND((M90+N90)=0,O90=1),F90,IF(OR((M90+N90)&gt;0,O90&gt;1),K90,F90))))</f>
        <v/>
      </c>
      <c r="S90" s="64" t="str">
        <f>IF(ISBLANK(L90),"",IF(O90=0,"",P90+Q90+R90))</f>
        <v/>
      </c>
    </row>
    <row r="91" spans="1:19" x14ac:dyDescent="0.4">
      <c r="A91" s="45" t="s">
        <v>14</v>
      </c>
      <c r="B91" s="46" t="s">
        <v>110</v>
      </c>
      <c r="C91" s="46" t="s">
        <v>1</v>
      </c>
      <c r="D91" s="53" t="s">
        <v>294</v>
      </c>
      <c r="E91" s="67" t="str">
        <f>IF('National currencies'!E91="","",'National currencies'!E91)</f>
        <v>3113 / 3135</v>
      </c>
      <c r="F91" s="66">
        <f>'National currencies'!F91/'Exchange rates'!B3</f>
        <v>2455.9316029064753</v>
      </c>
      <c r="G91" s="65">
        <v>0</v>
      </c>
      <c r="H91" s="66"/>
      <c r="I91" s="48"/>
      <c r="J91" s="48"/>
      <c r="K91" s="61">
        <f>'National currencies'!K91/'Exchange rates'!B3</f>
        <v>3787.2417227618203</v>
      </c>
      <c r="L91" s="220"/>
      <c r="M91" s="62" t="str">
        <f>IF(ISBLANK(L91),"",IF(O2=0,0,M2))</f>
        <v/>
      </c>
      <c r="N91" s="49" t="str">
        <f>IF(ISBLANK(L91),"",IF(O2=0,0,N2))</f>
        <v/>
      </c>
      <c r="O91" s="63" t="str">
        <f>IF(ISBLANK(L91),"",O2)</f>
        <v/>
      </c>
      <c r="P91" s="70"/>
      <c r="Q91" s="70"/>
      <c r="R91" s="71" t="str">
        <f>IF(ISBLANK(L91),"",IF(O91=0,0,IF(AND((M91+N91)=0,O91=1),F91,IF(OR((M91+N91)&gt;0,O91&gt;1),K91,F91))))</f>
        <v/>
      </c>
      <c r="S91" s="64" t="str">
        <f>IF(ISBLANK(L91),"",IF(O91=0,"",P91+Q91+R91))</f>
        <v/>
      </c>
    </row>
    <row r="92" spans="1:19" x14ac:dyDescent="0.4">
      <c r="A92" s="45" t="s">
        <v>14</v>
      </c>
      <c r="B92" s="46" t="s">
        <v>108</v>
      </c>
      <c r="C92" s="46" t="s">
        <v>2</v>
      </c>
      <c r="D92" s="53" t="s">
        <v>297</v>
      </c>
      <c r="E92" s="67">
        <f>IF('National currencies'!E92="","",'National currencies'!E92)</f>
        <v>3103</v>
      </c>
      <c r="F92" s="66">
        <f>'National currencies'!F92/'Exchange rates'!B3</f>
        <v>238.24007165919102</v>
      </c>
      <c r="G92" s="65">
        <v>0</v>
      </c>
      <c r="H92" s="66"/>
      <c r="I92" s="48"/>
      <c r="J92" s="48"/>
      <c r="K92" s="61"/>
      <c r="L92" s="220"/>
      <c r="M92" s="62" t="str">
        <f>IF(ISBLANK(L92),"",IF(M2&gt;1,0,IF((N2+O2)&gt;0,0,M2)))</f>
        <v/>
      </c>
      <c r="N92" s="49"/>
      <c r="O92" s="63"/>
      <c r="P92" s="69" t="str">
        <f>IF(ISBLANK(L92),"",IF(M92=0,0,IF(M92&gt;1,0,F92)))</f>
        <v/>
      </c>
      <c r="Q92" s="74"/>
      <c r="R92" s="75"/>
      <c r="S92" s="64" t="str">
        <f>IF(ISBLANK(L92),"",IF(M92=0,"",IF(M92&gt;1,"",F92)))</f>
        <v/>
      </c>
    </row>
    <row r="93" spans="1:19" x14ac:dyDescent="0.4">
      <c r="A93" s="45" t="s">
        <v>14</v>
      </c>
      <c r="B93" s="46" t="s">
        <v>108</v>
      </c>
      <c r="C93" s="46" t="s">
        <v>2</v>
      </c>
      <c r="D93" s="52" t="s">
        <v>279</v>
      </c>
      <c r="E93" s="67" t="str">
        <f>IF('National currencies'!E93="","",'National currencies'!E93)</f>
        <v>3120</v>
      </c>
      <c r="F93" s="66"/>
      <c r="G93" s="65"/>
      <c r="H93" s="66"/>
      <c r="I93" s="48"/>
      <c r="J93" s="48"/>
      <c r="K93" s="61">
        <f>'National currencies'!K93/'Exchange rates'!B3</f>
        <v>309.6318776446052</v>
      </c>
      <c r="L93" s="220"/>
      <c r="M93" s="62" t="str">
        <f>IF(ISBLANK(L93),"",IF(M2&lt;2,0,IF((N2+O2)&gt;0,0,M2)))</f>
        <v/>
      </c>
      <c r="N93" s="49"/>
      <c r="O93" s="63"/>
      <c r="P93" s="69" t="str">
        <f>IF(ISBLANK(L93),"",IF(M93=0,0,IF(M93&gt;1,K93,0)))</f>
        <v/>
      </c>
      <c r="Q93" s="74"/>
      <c r="R93" s="75"/>
      <c r="S93" s="64" t="str">
        <f>IF(ISBLANK(L93),"",IF(M93=0,"",IF(M93&lt;2,"",K93)))</f>
        <v/>
      </c>
    </row>
    <row r="94" spans="1:19" x14ac:dyDescent="0.4">
      <c r="A94" s="45" t="s">
        <v>14</v>
      </c>
      <c r="B94" s="46" t="s">
        <v>108</v>
      </c>
      <c r="C94" s="46" t="s">
        <v>2</v>
      </c>
      <c r="D94" s="52" t="s">
        <v>280</v>
      </c>
      <c r="E94" s="67" t="str">
        <f>IF('National currencies'!E94="","",'National currencies'!E94)</f>
        <v>3121</v>
      </c>
      <c r="F94" s="66"/>
      <c r="G94" s="65"/>
      <c r="H94" s="66"/>
      <c r="I94" s="48"/>
      <c r="J94" s="48"/>
      <c r="K94" s="61">
        <f>'National currencies'!K94/'Exchange rates'!B3</f>
        <v>417.12066418444221</v>
      </c>
      <c r="L94" s="220"/>
      <c r="M94" s="62" t="str">
        <f>IF(ISBLANK(L94),"",IF(M2&lt;2,0,IF((N2+O2)&gt;0,0,M2)))</f>
        <v/>
      </c>
      <c r="N94" s="49"/>
      <c r="O94" s="63"/>
      <c r="P94" s="69" t="str">
        <f>IF(ISBLANK(L94),"",IF(M94=0,0,IF(M94&gt;1,K94,0)))</f>
        <v/>
      </c>
      <c r="Q94" s="74"/>
      <c r="R94" s="75"/>
      <c r="S94" s="64" t="str">
        <f>IF(ISBLANK(L94),"",IF(M94=0,"",IF(M94&lt;2,"",K94)))</f>
        <v/>
      </c>
    </row>
    <row r="95" spans="1:19" x14ac:dyDescent="0.4">
      <c r="A95" s="45" t="s">
        <v>14</v>
      </c>
      <c r="B95" s="46" t="s">
        <v>109</v>
      </c>
      <c r="C95" s="46" t="s">
        <v>2</v>
      </c>
      <c r="D95" s="53" t="s">
        <v>293</v>
      </c>
      <c r="E95" s="67">
        <f>IF('National currencies'!E95="","",'National currencies'!E95)</f>
        <v>3103</v>
      </c>
      <c r="F95" s="66">
        <f>'National currencies'!F95/'Exchange rates'!B3</f>
        <v>238.24007165919102</v>
      </c>
      <c r="G95" s="65">
        <v>0</v>
      </c>
      <c r="H95" s="66"/>
      <c r="I95" s="48"/>
      <c r="J95" s="48"/>
      <c r="K95" s="61"/>
      <c r="L95" s="220"/>
      <c r="M95" s="62" t="str">
        <f>IF(ISBLANK(L95),"",IF(O2&gt;0,0,IF(N2=0,0,M2)))</f>
        <v/>
      </c>
      <c r="N95" s="49" t="str">
        <f>IF(ISBLANK(L95),"",IF(O2&gt;0,0,N2))</f>
        <v/>
      </c>
      <c r="O95" s="63"/>
      <c r="P95" s="70"/>
      <c r="Q95" s="70" t="str">
        <f>IF(ISBLANK(L95),"",IF(N95=0,0,F95))</f>
        <v/>
      </c>
      <c r="R95" s="75"/>
      <c r="S95" s="64" t="str">
        <f t="shared" ref="S95:S98" si="3">IF(ISBLANK(L95),"",IF(N95=0,"",P95+Q95+R95))</f>
        <v/>
      </c>
    </row>
    <row r="96" spans="1:19" x14ac:dyDescent="0.4">
      <c r="A96" s="45" t="s">
        <v>14</v>
      </c>
      <c r="B96" s="46" t="s">
        <v>109</v>
      </c>
      <c r="C96" s="46" t="s">
        <v>2</v>
      </c>
      <c r="D96" s="47" t="s">
        <v>295</v>
      </c>
      <c r="E96" s="67" t="str">
        <f>IF('National currencies'!E96="","",'National currencies'!E96)</f>
        <v>3108 / 3128/3129</v>
      </c>
      <c r="F96" s="66">
        <f>'National currencies'!F96/'Exchange rates'!B3</f>
        <v>238.24007165919102</v>
      </c>
      <c r="G96" s="65">
        <v>0</v>
      </c>
      <c r="H96" s="66"/>
      <c r="I96" s="48"/>
      <c r="J96" s="48"/>
      <c r="K96" s="61">
        <f>'National currencies'!K96/'Exchange rates'!B3</f>
        <v>417.12066418444221</v>
      </c>
      <c r="L96" s="220"/>
      <c r="M96" s="62" t="str">
        <f>IF(ISBLANK(L96),"",IF(O2&gt;0,0,IF(N2=0,0,M2)))</f>
        <v/>
      </c>
      <c r="N96" s="49" t="str">
        <f>IF(ISBLANK(L96),"",IF(O2&gt;0,0,N2))</f>
        <v/>
      </c>
      <c r="O96" s="63"/>
      <c r="P96" s="70"/>
      <c r="Q96" s="70" t="str">
        <f>IF(ISBLANK(L96),"",IF(N96=0,0,IF((M96+N96)&gt;1,K96,F96)))</f>
        <v/>
      </c>
      <c r="R96" s="75"/>
      <c r="S96" s="64" t="str">
        <f t="shared" si="3"/>
        <v/>
      </c>
    </row>
    <row r="97" spans="1:19" x14ac:dyDescent="0.4">
      <c r="A97" s="45" t="s">
        <v>14</v>
      </c>
      <c r="B97" s="46" t="s">
        <v>109</v>
      </c>
      <c r="C97" s="46" t="s">
        <v>2</v>
      </c>
      <c r="D97" s="55" t="s">
        <v>296</v>
      </c>
      <c r="E97" s="67" t="str">
        <f>IF('National currencies'!E97="","",'National currencies'!E97)</f>
        <v>3109 / 3130/3131</v>
      </c>
      <c r="F97" s="66">
        <f>'National currencies'!F97/'Exchange rates'!B3</f>
        <v>238.24007165919102</v>
      </c>
      <c r="G97" s="65">
        <v>0</v>
      </c>
      <c r="H97" s="66"/>
      <c r="I97" s="48"/>
      <c r="J97" s="48"/>
      <c r="K97" s="61">
        <f>'National currencies'!K97/'Exchange rates'!B3</f>
        <v>844.40195993235159</v>
      </c>
      <c r="L97" s="220"/>
      <c r="M97" s="62" t="str">
        <f>IF(ISBLANK(L97),"",IF(O2&gt;0,0,IF(N2=0,0,M2)))</f>
        <v/>
      </c>
      <c r="N97" s="49" t="str">
        <f>IF(ISBLANK(L97),"",IF(O2&gt;0,0,N2))</f>
        <v/>
      </c>
      <c r="O97" s="63"/>
      <c r="P97" s="70"/>
      <c r="Q97" s="70" t="str">
        <f>IF(ISBLANK(L97),"",IF(N97=0,0,IF((M97+N97)&gt;1,K97,F97)))</f>
        <v/>
      </c>
      <c r="R97" s="75"/>
      <c r="S97" s="64" t="str">
        <f t="shared" si="3"/>
        <v/>
      </c>
    </row>
    <row r="98" spans="1:19" x14ac:dyDescent="0.4">
      <c r="A98" s="45" t="s">
        <v>14</v>
      </c>
      <c r="B98" s="46" t="s">
        <v>109</v>
      </c>
      <c r="C98" s="46" t="s">
        <v>2</v>
      </c>
      <c r="D98" s="53" t="s">
        <v>294</v>
      </c>
      <c r="E98" s="67" t="str">
        <f>IF('National currencies'!E98="","",'National currencies'!E98)</f>
        <v>3114 / 3138/3139</v>
      </c>
      <c r="F98" s="66">
        <f>'National currencies'!F98/'Exchange rates'!B3</f>
        <v>742.66195177710779</v>
      </c>
      <c r="G98" s="65">
        <v>0</v>
      </c>
      <c r="H98" s="66"/>
      <c r="I98" s="48"/>
      <c r="J98" s="48"/>
      <c r="K98" s="61">
        <f>'National currencies'!K98/'Exchange rates'!B3</f>
        <v>1171.1464802101646</v>
      </c>
      <c r="L98" s="220"/>
      <c r="M98" s="62" t="str">
        <f>IF(ISBLANK(L98),"",IF(O2&gt;0,0,IF(N2=0,0,M2)))</f>
        <v/>
      </c>
      <c r="N98" s="49" t="str">
        <f>IF(ISBLANK(L98),"",IF(O2&gt;0,0,N2))</f>
        <v/>
      </c>
      <c r="O98" s="63"/>
      <c r="P98" s="70"/>
      <c r="Q98" s="70" t="str">
        <f>IF(ISBLANK(L98),"",IF(N98=0,0,IF((M98+N98)&gt;1,K98,F98)))</f>
        <v/>
      </c>
      <c r="R98" s="75"/>
      <c r="S98" s="64" t="str">
        <f t="shared" si="3"/>
        <v/>
      </c>
    </row>
    <row r="99" spans="1:19" x14ac:dyDescent="0.4">
      <c r="A99" s="45" t="s">
        <v>14</v>
      </c>
      <c r="B99" s="46" t="s">
        <v>110</v>
      </c>
      <c r="C99" s="46" t="s">
        <v>2</v>
      </c>
      <c r="D99" s="53" t="s">
        <v>293</v>
      </c>
      <c r="E99" s="67" t="str">
        <f>IF('National currencies'!E99="","",'National currencies'!E99)</f>
        <v>3103</v>
      </c>
      <c r="F99" s="66">
        <f>'National currencies'!F99/'Exchange rates'!B3</f>
        <v>238.24007165919102</v>
      </c>
      <c r="G99" s="65">
        <v>0</v>
      </c>
      <c r="H99" s="66"/>
      <c r="I99" s="48"/>
      <c r="J99" s="48"/>
      <c r="K99" s="61"/>
      <c r="L99" s="220"/>
      <c r="M99" s="62" t="str">
        <f>IF(ISBLANK(L99),"",IF(O2=0,0,M2))</f>
        <v/>
      </c>
      <c r="N99" s="49" t="str">
        <f>IF(ISBLANK(L99),"",IF(O2=0,0,N2))</f>
        <v/>
      </c>
      <c r="O99" s="63" t="str">
        <f>IF(ISBLANK(L99),"",O2)</f>
        <v/>
      </c>
      <c r="P99" s="70"/>
      <c r="Q99" s="70"/>
      <c r="R99" s="71" t="str">
        <f>IF(ISBLANK(L99),"",IF(O99=0,0,F99))</f>
        <v/>
      </c>
      <c r="S99" s="64" t="str">
        <f t="shared" ref="S99:S102" si="4">IF(ISBLANK(L99),"",IF(O99=0,"",P99+Q99+R99))</f>
        <v/>
      </c>
    </row>
    <row r="100" spans="1:19" x14ac:dyDescent="0.4">
      <c r="A100" s="45" t="s">
        <v>14</v>
      </c>
      <c r="B100" s="46" t="s">
        <v>110</v>
      </c>
      <c r="C100" s="46" t="s">
        <v>2</v>
      </c>
      <c r="D100" s="47" t="s">
        <v>295</v>
      </c>
      <c r="E100" s="67" t="str">
        <f>IF('National currencies'!E100="","",'National currencies'!E100)</f>
        <v>3108 / 3128/3129</v>
      </c>
      <c r="F100" s="66">
        <f>'National currencies'!F100/'Exchange rates'!B3</f>
        <v>238.24007165919102</v>
      </c>
      <c r="G100" s="65">
        <v>0</v>
      </c>
      <c r="H100" s="66"/>
      <c r="I100" s="48"/>
      <c r="J100" s="48"/>
      <c r="K100" s="61">
        <f>'National currencies'!K100/'Exchange rates'!B3</f>
        <v>417.12066418444221</v>
      </c>
      <c r="L100" s="220"/>
      <c r="M100" s="62" t="str">
        <f>IF(ISBLANK(L100),"",IF(O2=0,0,M2))</f>
        <v/>
      </c>
      <c r="N100" s="49" t="str">
        <f>IF(ISBLANK(L100),"",IF(O2=0,0,N2))</f>
        <v/>
      </c>
      <c r="O100" s="63" t="str">
        <f>IF(ISBLANK(L100),"",O2)</f>
        <v/>
      </c>
      <c r="P100" s="70"/>
      <c r="Q100" s="70"/>
      <c r="R100" s="71" t="str">
        <f t="shared" ref="R100:R102" si="5">IF(ISBLANK(L100),"",IF(O100=0,0,IF(AND((M100+N100)=0,O100=1),F100,IF(OR((M100+N100)&gt;0,O100&gt;1),K100,F100))))</f>
        <v/>
      </c>
      <c r="S100" s="64" t="str">
        <f t="shared" si="4"/>
        <v/>
      </c>
    </row>
    <row r="101" spans="1:19" x14ac:dyDescent="0.4">
      <c r="A101" s="45" t="s">
        <v>14</v>
      </c>
      <c r="B101" s="46" t="s">
        <v>110</v>
      </c>
      <c r="C101" s="46" t="s">
        <v>2</v>
      </c>
      <c r="D101" s="54" t="s">
        <v>296</v>
      </c>
      <c r="E101" s="67" t="str">
        <f>IF('National currencies'!E101="","",'National currencies'!E101)</f>
        <v>3109 / 3130/3131</v>
      </c>
      <c r="F101" s="66">
        <f>'National currencies'!F101/'Exchange rates'!B3</f>
        <v>238.24007165919102</v>
      </c>
      <c r="G101" s="65">
        <v>0</v>
      </c>
      <c r="H101" s="66"/>
      <c r="I101" s="48"/>
      <c r="J101" s="48"/>
      <c r="K101" s="61">
        <f>'National currencies'!K101/'Exchange rates'!B3</f>
        <v>844.40195993235159</v>
      </c>
      <c r="L101" s="220"/>
      <c r="M101" s="62" t="str">
        <f>IF(ISBLANK(L101),"",IF(O2=0,0,M2))</f>
        <v/>
      </c>
      <c r="N101" s="49" t="str">
        <f>IF(ISBLANK(L101),"",IF(O2=0,0,N2))</f>
        <v/>
      </c>
      <c r="O101" s="63" t="str">
        <f>IF(ISBLANK(L101),"",O2)</f>
        <v/>
      </c>
      <c r="P101" s="70"/>
      <c r="Q101" s="70"/>
      <c r="R101" s="71" t="str">
        <f t="shared" si="5"/>
        <v/>
      </c>
      <c r="S101" s="64" t="str">
        <f t="shared" si="4"/>
        <v/>
      </c>
    </row>
    <row r="102" spans="1:19" x14ac:dyDescent="0.4">
      <c r="A102" s="45" t="s">
        <v>14</v>
      </c>
      <c r="B102" s="46" t="s">
        <v>110</v>
      </c>
      <c r="C102" s="46" t="s">
        <v>2</v>
      </c>
      <c r="D102" s="53" t="s">
        <v>294</v>
      </c>
      <c r="E102" s="67" t="str">
        <f>IF('National currencies'!E102="","",'National currencies'!E102)</f>
        <v>3114 / 3138/3139</v>
      </c>
      <c r="F102" s="66">
        <f>'National currencies'!F102/'Exchange rates'!B3</f>
        <v>742.66195177710779</v>
      </c>
      <c r="G102" s="65">
        <v>0</v>
      </c>
      <c r="H102" s="66"/>
      <c r="I102" s="48"/>
      <c r="J102" s="48"/>
      <c r="K102" s="61">
        <f>'National currencies'!K102/'Exchange rates'!B3</f>
        <v>1171.1464802101646</v>
      </c>
      <c r="L102" s="220"/>
      <c r="M102" s="62" t="str">
        <f>IF(ISBLANK(L102),"",IF(O2=0,0,M2))</f>
        <v/>
      </c>
      <c r="N102" s="49" t="str">
        <f>IF(ISBLANK(L102),"",IF(O2=0,0,N2))</f>
        <v/>
      </c>
      <c r="O102" s="63" t="str">
        <f>IF(ISBLANK(L102),"",O2)</f>
        <v/>
      </c>
      <c r="P102" s="70"/>
      <c r="Q102" s="70"/>
      <c r="R102" s="71" t="str">
        <f t="shared" si="5"/>
        <v/>
      </c>
      <c r="S102" s="64" t="str">
        <f t="shared" si="4"/>
        <v/>
      </c>
    </row>
    <row r="103" spans="1:19" x14ac:dyDescent="0.4">
      <c r="A103" s="45" t="s">
        <v>14</v>
      </c>
      <c r="B103" s="46" t="s">
        <v>108</v>
      </c>
      <c r="C103" s="46" t="s">
        <v>0</v>
      </c>
      <c r="D103" s="53" t="s">
        <v>297</v>
      </c>
      <c r="E103" s="67">
        <f>IF('National currencies'!E103="","",'National currencies'!E103)</f>
        <v>3101</v>
      </c>
      <c r="F103" s="66">
        <f>'National currencies'!F103/'Exchange rates'!B3</f>
        <v>325.00651751037788</v>
      </c>
      <c r="G103" s="65">
        <v>0</v>
      </c>
      <c r="H103" s="66"/>
      <c r="I103" s="48"/>
      <c r="J103" s="48"/>
      <c r="K103" s="61"/>
      <c r="L103" s="220"/>
      <c r="M103" s="62" t="str">
        <f>IF(ISBLANK(L103),"",IF(M2&gt;1,0,IF((N2+O2)&gt;0,0,M2)))</f>
        <v/>
      </c>
      <c r="N103" s="49"/>
      <c r="O103" s="63"/>
      <c r="P103" s="69" t="str">
        <f>IF(ISBLANK(L103),"",IF(M103=0,0,IF(M103&gt;1,0,F103)))</f>
        <v/>
      </c>
      <c r="Q103" s="74"/>
      <c r="R103" s="75"/>
      <c r="S103" s="64" t="str">
        <f>IF(ISBLANK(L103),"",IF(M103=0,"",IF(M103&gt;1,"",F103)))</f>
        <v/>
      </c>
    </row>
    <row r="104" spans="1:19" x14ac:dyDescent="0.4">
      <c r="A104" s="45" t="s">
        <v>14</v>
      </c>
      <c r="B104" s="46" t="s">
        <v>108</v>
      </c>
      <c r="C104" s="46" t="s">
        <v>0</v>
      </c>
      <c r="D104" s="52" t="s">
        <v>279</v>
      </c>
      <c r="E104" s="67" t="str">
        <f>IF('National currencies'!E104="","",'National currencies'!E104)</f>
        <v>3115</v>
      </c>
      <c r="F104" s="66"/>
      <c r="G104" s="65"/>
      <c r="H104" s="66"/>
      <c r="I104" s="48"/>
      <c r="J104" s="48"/>
      <c r="K104" s="61">
        <f>'National currencies'!K104/'Exchange rates'!B3</f>
        <v>396.53201601636397</v>
      </c>
      <c r="L104" s="220"/>
      <c r="M104" s="62" t="str">
        <f>IF(ISBLANK(L104),"",IF(M2&lt;2,0,IF((N2+O2)&gt;0,0,M2)))</f>
        <v/>
      </c>
      <c r="N104" s="49"/>
      <c r="O104" s="63"/>
      <c r="P104" s="69" t="str">
        <f>IF(ISBLANK(L104),"",IF(M104=0,0,IF(M104&gt;1,K104,0)))</f>
        <v/>
      </c>
      <c r="Q104" s="74"/>
      <c r="R104" s="75"/>
      <c r="S104" s="64" t="str">
        <f>IF(ISBLANK(L104),"",IF(M104=0,"",IF(M104&lt;2,"",K104)))</f>
        <v/>
      </c>
    </row>
    <row r="105" spans="1:19" x14ac:dyDescent="0.4">
      <c r="A105" s="45" t="s">
        <v>14</v>
      </c>
      <c r="B105" s="46" t="s">
        <v>108</v>
      </c>
      <c r="C105" s="46" t="s">
        <v>0</v>
      </c>
      <c r="D105" s="52" t="s">
        <v>280</v>
      </c>
      <c r="E105" s="67" t="str">
        <f>IF('National currencies'!E105="","",'National currencies'!E105)</f>
        <v>3116</v>
      </c>
      <c r="F105" s="66"/>
      <c r="G105" s="65"/>
      <c r="H105" s="66"/>
      <c r="I105" s="48"/>
      <c r="J105" s="48"/>
      <c r="K105" s="61">
        <f>'National currencies'!K105/'Exchange rates'!B3</f>
        <v>503.61972499448518</v>
      </c>
      <c r="L105" s="220"/>
      <c r="M105" s="62" t="str">
        <f>IF(ISBLANK(L105),"",IF(M2&lt;2,0,IF((N2+O2)&gt;0,0,M2)))</f>
        <v/>
      </c>
      <c r="N105" s="49"/>
      <c r="O105" s="63"/>
      <c r="P105" s="69" t="str">
        <f>IF(ISBLANK(L105),"",IF(M105=0,0,IF(M105&gt;1,K105,0)))</f>
        <v/>
      </c>
      <c r="Q105" s="74"/>
      <c r="R105" s="75"/>
      <c r="S105" s="64" t="str">
        <f>IF(ISBLANK(L105),"",IF(M105=0,"",IF(M105&lt;2,"",K105)))</f>
        <v/>
      </c>
    </row>
    <row r="106" spans="1:19" x14ac:dyDescent="0.4">
      <c r="A106" s="45" t="s">
        <v>14</v>
      </c>
      <c r="B106" s="46" t="s">
        <v>109</v>
      </c>
      <c r="C106" s="46" t="s">
        <v>0</v>
      </c>
      <c r="D106" s="53" t="s">
        <v>293</v>
      </c>
      <c r="E106" s="67">
        <f>IF('National currencies'!E106="","",'National currencies'!E106)</f>
        <v>3101</v>
      </c>
      <c r="F106" s="66">
        <f>'National currencies'!F106/'Exchange rates'!B3</f>
        <v>325.00651751037788</v>
      </c>
      <c r="G106" s="65">
        <v>0</v>
      </c>
      <c r="H106" s="66"/>
      <c r="I106" s="48"/>
      <c r="J106" s="48"/>
      <c r="K106" s="61"/>
      <c r="L106" s="220"/>
      <c r="M106" s="62" t="str">
        <f>IF(ISBLANK(L106),"",IF(O2&gt;0,0,IF(N2=0,0,M2)))</f>
        <v/>
      </c>
      <c r="N106" s="49" t="str">
        <f>IF(ISBLANK(L106),"",IF(O2&gt;0,0,N2))</f>
        <v/>
      </c>
      <c r="O106" s="63"/>
      <c r="P106" s="70"/>
      <c r="Q106" s="70" t="str">
        <f>IF(ISBLANK(L106),"",IF(N106=0,0,F106))</f>
        <v/>
      </c>
      <c r="R106" s="75"/>
      <c r="S106" s="64" t="str">
        <f t="shared" ref="S106:S109" si="6">IF(ISBLANK(L106),"",IF(N106=0,"",P106+Q106+R106))</f>
        <v/>
      </c>
    </row>
    <row r="107" spans="1:19" x14ac:dyDescent="0.4">
      <c r="A107" s="45" t="s">
        <v>14</v>
      </c>
      <c r="B107" s="46" t="s">
        <v>109</v>
      </c>
      <c r="C107" s="46" t="s">
        <v>0</v>
      </c>
      <c r="D107" s="47" t="s">
        <v>295</v>
      </c>
      <c r="E107" s="67" t="str">
        <f>IF('National currencies'!E107="","",'National currencies'!E107)</f>
        <v>3104 / 3122</v>
      </c>
      <c r="F107" s="66">
        <f>'National currencies'!F107/'Exchange rates'!B3</f>
        <v>1641.8778451439534</v>
      </c>
      <c r="G107" s="65">
        <v>0</v>
      </c>
      <c r="H107" s="66"/>
      <c r="I107" s="48"/>
      <c r="J107" s="48"/>
      <c r="K107" s="61">
        <f>'National currencies'!K107/'Exchange rates'!B3</f>
        <v>3419.3199061478508</v>
      </c>
      <c r="L107" s="220"/>
      <c r="M107" s="62" t="str">
        <f>IF(ISBLANK(L107),"",IF(O2&gt;0,0,IF(N2=0,0,M2)))</f>
        <v/>
      </c>
      <c r="N107" s="49" t="str">
        <f>IF(ISBLANK(L107),"",IF(O2&gt;0,0,N2))</f>
        <v/>
      </c>
      <c r="O107" s="63"/>
      <c r="P107" s="70"/>
      <c r="Q107" s="70" t="str">
        <f t="shared" ref="Q107:Q109" si="7">IF(ISBLANK(L107),"",IF(N107=0,0,IF((M107+N107)&gt;1,K107,F107)))</f>
        <v/>
      </c>
      <c r="R107" s="75"/>
      <c r="S107" s="64" t="str">
        <f t="shared" si="6"/>
        <v/>
      </c>
    </row>
    <row r="108" spans="1:19" x14ac:dyDescent="0.4">
      <c r="A108" s="45" t="s">
        <v>14</v>
      </c>
      <c r="B108" s="46" t="s">
        <v>109</v>
      </c>
      <c r="C108" s="46" t="s">
        <v>0</v>
      </c>
      <c r="D108" s="55" t="s">
        <v>296</v>
      </c>
      <c r="E108" s="67" t="str">
        <f>IF('National currencies'!E108="","",'National currencies'!E108)</f>
        <v>3105 / 3123</v>
      </c>
      <c r="F108" s="66">
        <f>'National currencies'!F108/'Exchange rates'!B3</f>
        <v>6150.2570238707995</v>
      </c>
      <c r="G108" s="65">
        <v>0</v>
      </c>
      <c r="H108" s="66"/>
      <c r="I108" s="48"/>
      <c r="J108" s="48"/>
      <c r="K108" s="61">
        <f>'National currencies'!K108/'Exchange rates'!B3</f>
        <v>6891.3146654010443</v>
      </c>
      <c r="L108" s="220"/>
      <c r="M108" s="62" t="str">
        <f>IF(ISBLANK(L108),"",IF(O2&gt;0,0,IF(N2=0,0,M2)))</f>
        <v/>
      </c>
      <c r="N108" s="49" t="str">
        <f>IF(ISBLANK(L108),"",IF(O2&gt;0,0,N2))</f>
        <v/>
      </c>
      <c r="O108" s="63"/>
      <c r="P108" s="70"/>
      <c r="Q108" s="70" t="str">
        <f t="shared" si="7"/>
        <v/>
      </c>
      <c r="R108" s="75"/>
      <c r="S108" s="64" t="str">
        <f t="shared" si="6"/>
        <v/>
      </c>
    </row>
    <row r="109" spans="1:19" x14ac:dyDescent="0.4">
      <c r="A109" s="45" t="s">
        <v>14</v>
      </c>
      <c r="B109" s="46" t="s">
        <v>109</v>
      </c>
      <c r="C109" s="46" t="s">
        <v>0</v>
      </c>
      <c r="D109" s="53" t="s">
        <v>294</v>
      </c>
      <c r="E109" s="67" t="str">
        <f>IF('National currencies'!E109="","",'National currencies'!E109)</f>
        <v>3110 / 3132</v>
      </c>
      <c r="F109" s="66">
        <f>'National currencies'!F109/'Exchange rates'!B3</f>
        <v>1275.827723817991</v>
      </c>
      <c r="G109" s="65">
        <v>0</v>
      </c>
      <c r="H109" s="66"/>
      <c r="I109" s="48"/>
      <c r="J109" s="48"/>
      <c r="K109" s="61">
        <f>'National currencies'!K109/'Exchange rates'!B3</f>
        <v>2177.4500825551313</v>
      </c>
      <c r="L109" s="220"/>
      <c r="M109" s="62" t="str">
        <f>IF(ISBLANK(L109),"",IF(O2&gt;0,0,IF(N2=0,0,M2)))</f>
        <v/>
      </c>
      <c r="N109" s="49" t="str">
        <f>IF(ISBLANK(L109),"",IF(O2&gt;0,0,N2))</f>
        <v/>
      </c>
      <c r="O109" s="63"/>
      <c r="P109" s="70"/>
      <c r="Q109" s="70" t="str">
        <f t="shared" si="7"/>
        <v/>
      </c>
      <c r="R109" s="75"/>
      <c r="S109" s="64" t="str">
        <f t="shared" si="6"/>
        <v/>
      </c>
    </row>
    <row r="110" spans="1:19" x14ac:dyDescent="0.4">
      <c r="A110" s="45" t="s">
        <v>14</v>
      </c>
      <c r="B110" s="46" t="s">
        <v>110</v>
      </c>
      <c r="C110" s="46" t="s">
        <v>0</v>
      </c>
      <c r="D110" s="53" t="s">
        <v>293</v>
      </c>
      <c r="E110" s="67">
        <f>IF('National currencies'!E110="","",'National currencies'!E110)</f>
        <v>3101</v>
      </c>
      <c r="F110" s="66">
        <f>'National currencies'!F110/'Exchange rates'!B3</f>
        <v>325.00651751037788</v>
      </c>
      <c r="G110" s="65">
        <v>0</v>
      </c>
      <c r="H110" s="66"/>
      <c r="I110" s="48"/>
      <c r="J110" s="48"/>
      <c r="K110" s="61"/>
      <c r="L110" s="220"/>
      <c r="M110" s="62" t="str">
        <f>IF(ISBLANK(L110),"",IF(O2=0,0,M2))</f>
        <v/>
      </c>
      <c r="N110" s="49" t="str">
        <f>IF(ISBLANK(L110),"",IF(O2=0,0,N2))</f>
        <v/>
      </c>
      <c r="O110" s="63" t="str">
        <f>IF(ISBLANK(L110),"",O2)</f>
        <v/>
      </c>
      <c r="P110" s="70"/>
      <c r="Q110" s="70"/>
      <c r="R110" s="71" t="str">
        <f>IF(ISBLANK(L110),"",IF(O110=0,0,IF(O110&gt;1,K110,F110)))</f>
        <v/>
      </c>
      <c r="S110" s="64" t="str">
        <f t="shared" ref="S110:S113" si="8">IF(ISBLANK(L110),"",IF(O110=0,"",P110+Q110+R110))</f>
        <v/>
      </c>
    </row>
    <row r="111" spans="1:19" x14ac:dyDescent="0.4">
      <c r="A111" s="45" t="s">
        <v>14</v>
      </c>
      <c r="B111" s="46" t="s">
        <v>110</v>
      </c>
      <c r="C111" s="46" t="s">
        <v>0</v>
      </c>
      <c r="D111" s="47" t="s">
        <v>295</v>
      </c>
      <c r="E111" s="67" t="str">
        <f>IF('National currencies'!E111="","",'National currencies'!E111)</f>
        <v>3104 / 3122</v>
      </c>
      <c r="F111" s="66">
        <f>'National currencies'!F111/'Exchange rates'!B3</f>
        <v>1641.8778451439534</v>
      </c>
      <c r="G111" s="65">
        <v>0</v>
      </c>
      <c r="H111" s="66"/>
      <c r="I111" s="48"/>
      <c r="J111" s="48"/>
      <c r="K111" s="61">
        <f>'National currencies'!K111/'Exchange rates'!B3</f>
        <v>3419.3199061478508</v>
      </c>
      <c r="L111" s="220"/>
      <c r="M111" s="62" t="str">
        <f>IF(ISBLANK(L111),"",IF(O2=0,0,M2))</f>
        <v/>
      </c>
      <c r="N111" s="49" t="str">
        <f>IF(ISBLANK(L111),"",IF(O2=0,0,N2))</f>
        <v/>
      </c>
      <c r="O111" s="63" t="str">
        <f>IF(ISBLANK(L111),"",O2)</f>
        <v/>
      </c>
      <c r="P111" s="70"/>
      <c r="Q111" s="70"/>
      <c r="R111" s="71" t="str">
        <f t="shared" ref="R111:R113" si="9">IF(ISBLANK(L111),"",IF(O111=0,0,IF(AND((M111+N111)=0,O111=1),F111,IF(OR((M111+N111)&gt;0,O111&gt;1),K111,F111))))</f>
        <v/>
      </c>
      <c r="S111" s="64" t="str">
        <f t="shared" si="8"/>
        <v/>
      </c>
    </row>
    <row r="112" spans="1:19" x14ac:dyDescent="0.4">
      <c r="A112" s="45" t="s">
        <v>14</v>
      </c>
      <c r="B112" s="46" t="s">
        <v>110</v>
      </c>
      <c r="C112" s="46" t="s">
        <v>0</v>
      </c>
      <c r="D112" s="55" t="s">
        <v>296</v>
      </c>
      <c r="E112" s="67" t="str">
        <f>IF('National currencies'!E112="","",'National currencies'!E112)</f>
        <v>3105 / 3123</v>
      </c>
      <c r="F112" s="66">
        <f>'National currencies'!F112/'Exchange rates'!B3</f>
        <v>6150.2570238707995</v>
      </c>
      <c r="G112" s="65">
        <v>0</v>
      </c>
      <c r="H112" s="66"/>
      <c r="I112" s="48"/>
      <c r="J112" s="48"/>
      <c r="K112" s="61">
        <f>'National currencies'!K112/'Exchange rates'!B3</f>
        <v>6891.3146654010443</v>
      </c>
      <c r="L112" s="220"/>
      <c r="M112" s="62" t="str">
        <f>IF(ISBLANK(L112),"",IF(O2=0,0,M2))</f>
        <v/>
      </c>
      <c r="N112" s="49" t="str">
        <f>IF(ISBLANK(L112),"",IF(O2=0,0,N2))</f>
        <v/>
      </c>
      <c r="O112" s="63" t="str">
        <f>IF(ISBLANK(L112),"",O2)</f>
        <v/>
      </c>
      <c r="P112" s="70"/>
      <c r="Q112" s="70"/>
      <c r="R112" s="71" t="str">
        <f t="shared" si="9"/>
        <v/>
      </c>
      <c r="S112" s="64" t="str">
        <f t="shared" si="8"/>
        <v/>
      </c>
    </row>
    <row r="113" spans="1:19" x14ac:dyDescent="0.4">
      <c r="A113" s="45" t="s">
        <v>14</v>
      </c>
      <c r="B113" s="46" t="s">
        <v>110</v>
      </c>
      <c r="C113" s="46" t="s">
        <v>0</v>
      </c>
      <c r="D113" s="53" t="s">
        <v>294</v>
      </c>
      <c r="E113" s="67" t="str">
        <f>IF('National currencies'!E113="","",'National currencies'!E113)</f>
        <v>3111 / 3133</v>
      </c>
      <c r="F113" s="66">
        <f>'National currencies'!F113/'Exchange rates'!B3</f>
        <v>3177.6038289537892</v>
      </c>
      <c r="G113" s="65">
        <v>0</v>
      </c>
      <c r="H113" s="66"/>
      <c r="I113" s="48"/>
      <c r="J113" s="48"/>
      <c r="K113" s="61">
        <f>'National currencies'!K113/'Exchange rates'!B3</f>
        <v>3915.1854649491634</v>
      </c>
      <c r="L113" s="220"/>
      <c r="M113" s="62" t="str">
        <f>IF(ISBLANK(L113),"",IF(O2=0,0,M2))</f>
        <v/>
      </c>
      <c r="N113" s="49" t="str">
        <f>IF(ISBLANK(L113),"",IF(O2=0,0,N2))</f>
        <v/>
      </c>
      <c r="O113" s="63" t="str">
        <f>IF(ISBLANK(L113),"",O2)</f>
        <v/>
      </c>
      <c r="P113" s="70"/>
      <c r="Q113" s="70"/>
      <c r="R113" s="71" t="str">
        <f t="shared" si="9"/>
        <v/>
      </c>
      <c r="S113" s="64" t="str">
        <f t="shared" si="8"/>
        <v/>
      </c>
    </row>
    <row r="114" spans="1:19" x14ac:dyDescent="0.4">
      <c r="A114" s="45" t="s">
        <v>15</v>
      </c>
      <c r="B114" s="46" t="s">
        <v>108</v>
      </c>
      <c r="C114" s="46" t="s">
        <v>1</v>
      </c>
      <c r="D114" s="47" t="s">
        <v>429</v>
      </c>
      <c r="E114" s="67" t="str">
        <f>IF('National currencies'!E114="","",'National currencies'!E114)</f>
        <v/>
      </c>
      <c r="F114" s="66">
        <f>'National currencies'!F114</f>
        <v>500</v>
      </c>
      <c r="G114" s="65">
        <f>'National currencies'!G114</f>
        <v>0</v>
      </c>
      <c r="H114" s="66">
        <f>'National currencies'!H114</f>
        <v>500</v>
      </c>
      <c r="I114" s="48"/>
      <c r="J114" s="48"/>
      <c r="K114" s="61"/>
      <c r="L114" s="220"/>
      <c r="M114" s="62" t="str">
        <f>IF(ISBLANK(L114),"",IF((N2+O2)&gt;0,0,M2))</f>
        <v/>
      </c>
      <c r="N114" s="49"/>
      <c r="O114" s="63"/>
      <c r="P114" s="69" t="str">
        <f>IF(ISBLANK(L114),"",IF(M114=0,0,IF(L114=1,F114+(M114-1)*H114,(F114+(L114-1)*G114)+(H114+(L114-1)*G114)*(M114-1))))</f>
        <v/>
      </c>
      <c r="Q114" s="70"/>
      <c r="R114" s="71"/>
      <c r="S114" s="64" t="str">
        <f>IF(ISBLANK(L114),"",IF(M114=0,"",P114))</f>
        <v/>
      </c>
    </row>
    <row r="115" spans="1:19" x14ac:dyDescent="0.4">
      <c r="A115" s="45" t="s">
        <v>15</v>
      </c>
      <c r="B115" s="46" t="s">
        <v>109</v>
      </c>
      <c r="C115" s="46" t="s">
        <v>1</v>
      </c>
      <c r="D115" s="47" t="s">
        <v>429</v>
      </c>
      <c r="E115" s="67" t="str">
        <f>IF('National currencies'!E115="","",'National currencies'!E115)</f>
        <v/>
      </c>
      <c r="F115" s="66">
        <f>'National currencies'!F115</f>
        <v>750</v>
      </c>
      <c r="G115" s="65">
        <f>'National currencies'!G115</f>
        <v>0</v>
      </c>
      <c r="H115" s="66">
        <f>'National currencies'!H115</f>
        <v>500</v>
      </c>
      <c r="I115" s="48">
        <f>'National currencies'!I115</f>
        <v>750</v>
      </c>
      <c r="J115" s="48"/>
      <c r="K115" s="61"/>
      <c r="L115" s="220"/>
      <c r="M115" s="62" t="str">
        <f>IF(ISBLANK(L115),"",IF(O2&gt;0,0,IF(N2=0,0,M2)))</f>
        <v/>
      </c>
      <c r="N115" s="49" t="str">
        <f>IF(ISBLANK(L115),"",IF(O2&gt;0,0,N2))</f>
        <v/>
      </c>
      <c r="O115" s="63"/>
      <c r="P115" s="69" t="str">
        <f>IF(ISBLANK(L115),"",IF(M115=0,0,IF(L115=1,H115+(M115-1)*H115,(H115+(L115-1)*G114)+(H115+(L115-1)*G114)*(M115-1))))</f>
        <v/>
      </c>
      <c r="Q115" s="70" t="str">
        <f>IF(ISBLANK(L115),"",IF(N115=0,0,IF(L115=1,F115+(N115-1)*I115,(F115+(L115-1)*G115)+(I115+(L115-1)*G115)*(N115-1))))</f>
        <v/>
      </c>
      <c r="R115" s="71"/>
      <c r="S115" s="64" t="str">
        <f>IF(ISBLANK(L115),"",IF(N115=0,"",P115+Q115))</f>
        <v/>
      </c>
    </row>
    <row r="116" spans="1:19" x14ac:dyDescent="0.4">
      <c r="A116" s="45" t="s">
        <v>15</v>
      </c>
      <c r="B116" s="46" t="s">
        <v>110</v>
      </c>
      <c r="C116" s="46" t="s">
        <v>1</v>
      </c>
      <c r="D116" s="47" t="s">
        <v>429</v>
      </c>
      <c r="E116" s="67" t="str">
        <f>IF('National currencies'!E116="","",'National currencies'!E116)</f>
        <v/>
      </c>
      <c r="F116" s="66">
        <f>'National currencies'!F116</f>
        <v>1800</v>
      </c>
      <c r="G116" s="65">
        <f>'National currencies'!G116</f>
        <v>0</v>
      </c>
      <c r="H116" s="66">
        <f>'National currencies'!H116</f>
        <v>500</v>
      </c>
      <c r="I116" s="48">
        <f>'National currencies'!I116</f>
        <v>750</v>
      </c>
      <c r="J116" s="48">
        <f>'National currencies'!J116</f>
        <v>1800</v>
      </c>
      <c r="K116" s="61"/>
      <c r="L116" s="220"/>
      <c r="M116" s="62" t="str">
        <f>IF(ISBLANK(L116),"",IF(O2=0,0,M2))</f>
        <v/>
      </c>
      <c r="N116" s="49" t="str">
        <f>IF(ISBLANK(L116),"",IF(O2=0,0,N2))</f>
        <v/>
      </c>
      <c r="O116" s="63" t="str">
        <f>IF(ISBLANK(L116),"",O2)</f>
        <v/>
      </c>
      <c r="P116" s="69" t="str">
        <f>IF(ISBLANK(L116),"",IF(M116=0,0,IF(L116=1,H116+(M116-1)*H116,(H116+(L116-1)*G114)+(H116+(L116-1)*G114)*(M116-1))))</f>
        <v/>
      </c>
      <c r="Q116" s="70" t="str">
        <f>IF(ISBLANK(L116),"",IF(N116=0,0,IF(L116=1,I116+(N116-1)*I116,(I116+(L116-1)*G115)+(I116+(L116-1)*G115)*(N116-1))))</f>
        <v/>
      </c>
      <c r="R116" s="71" t="str">
        <f>IF(ISBLANK(L116),"",IF(O116=0,0,IF(L116=1,F116+(O116-1)*J116,(F116+(L116-1)*G116)+(J116+(L116-1)*G116)*(O116-1))))</f>
        <v/>
      </c>
      <c r="S116" s="64" t="str">
        <f>IF(ISBLANK(L116),"",IF(O116=0,"",P116+Q116+R116))</f>
        <v/>
      </c>
    </row>
    <row r="117" spans="1:19" x14ac:dyDescent="0.4">
      <c r="A117" s="45" t="s">
        <v>15</v>
      </c>
      <c r="B117" s="46" t="s">
        <v>108</v>
      </c>
      <c r="C117" s="46" t="s">
        <v>2</v>
      </c>
      <c r="D117" s="47" t="s">
        <v>429</v>
      </c>
      <c r="E117" s="67" t="str">
        <f>IF('National currencies'!E117="","",'National currencies'!E117)</f>
        <v/>
      </c>
      <c r="F117" s="66">
        <f>'National currencies'!F117</f>
        <v>100</v>
      </c>
      <c r="G117" s="65">
        <f>'National currencies'!G117</f>
        <v>0</v>
      </c>
      <c r="H117" s="66">
        <f>'National currencies'!H117</f>
        <v>100</v>
      </c>
      <c r="I117" s="48"/>
      <c r="J117" s="48"/>
      <c r="K117" s="61"/>
      <c r="L117" s="220"/>
      <c r="M117" s="62" t="str">
        <f>IF(ISBLANK(L117),"",IF((N2+O2)&gt;0,0,M2))</f>
        <v/>
      </c>
      <c r="N117" s="49"/>
      <c r="O117" s="63"/>
      <c r="P117" s="69" t="str">
        <f>IF(ISBLANK(L117),"",IF(M117=0,0,IF(L117=1,F117+(M117-1)*H117,(F117+(L117-1)*G117)+(H117+(L117-1)*G117)*(M117-1))))</f>
        <v/>
      </c>
      <c r="Q117" s="70"/>
      <c r="R117" s="71"/>
      <c r="S117" s="64" t="str">
        <f>IF(ISBLANK(L117),"",IF(M117=0,"",P117))</f>
        <v/>
      </c>
    </row>
    <row r="118" spans="1:19" x14ac:dyDescent="0.4">
      <c r="A118" s="45" t="s">
        <v>15</v>
      </c>
      <c r="B118" s="46" t="s">
        <v>109</v>
      </c>
      <c r="C118" s="46" t="s">
        <v>2</v>
      </c>
      <c r="D118" s="47" t="s">
        <v>429</v>
      </c>
      <c r="E118" s="67" t="str">
        <f>IF('National currencies'!E118="","",'National currencies'!E118)</f>
        <v/>
      </c>
      <c r="F118" s="66">
        <f>'National currencies'!F118</f>
        <v>150</v>
      </c>
      <c r="G118" s="65">
        <f>'National currencies'!G118</f>
        <v>0</v>
      </c>
      <c r="H118" s="66">
        <f>'National currencies'!H118</f>
        <v>100</v>
      </c>
      <c r="I118" s="48">
        <f>'National currencies'!I118</f>
        <v>150</v>
      </c>
      <c r="J118" s="48"/>
      <c r="K118" s="61"/>
      <c r="L118" s="220"/>
      <c r="M118" s="62" t="str">
        <f>IF(ISBLANK(L118),"",IF(O2&gt;0,0,IF(N2=0,0,M2)))</f>
        <v/>
      </c>
      <c r="N118" s="49" t="str">
        <f>IF(ISBLANK(L118),"",IF(O2&gt;0,0,N2))</f>
        <v/>
      </c>
      <c r="O118" s="63"/>
      <c r="P118" s="69" t="str">
        <f>IF(ISBLANK(L118),"",IF(M118=0,0,IF(L118=1,H118+(M118-1)*H118,(H118+(L118-1)*G117)+(H118+(L118-1)*G117)*(M118-1))))</f>
        <v/>
      </c>
      <c r="Q118" s="70" t="str">
        <f>IF(ISBLANK(L118),"",IF(N118=0,0,IF(L118=1,F118+(N118-1)*I118,(F118+(L118-1)*G118)+(I118+(L118-1)*G118)*(N118-1))))</f>
        <v/>
      </c>
      <c r="R118" s="71"/>
      <c r="S118" s="64" t="str">
        <f>IF(ISBLANK(L118),"",IF(N118=0,"",P118+Q118))</f>
        <v/>
      </c>
    </row>
    <row r="119" spans="1:19" x14ac:dyDescent="0.4">
      <c r="A119" s="45" t="s">
        <v>15</v>
      </c>
      <c r="B119" s="46" t="s">
        <v>110</v>
      </c>
      <c r="C119" s="46" t="s">
        <v>2</v>
      </c>
      <c r="D119" s="47" t="s">
        <v>429</v>
      </c>
      <c r="E119" s="67" t="str">
        <f>IF('National currencies'!E119="","",'National currencies'!E119)</f>
        <v/>
      </c>
      <c r="F119" s="66">
        <f>'National currencies'!F119</f>
        <v>400</v>
      </c>
      <c r="G119" s="65">
        <f>'National currencies'!G119</f>
        <v>0</v>
      </c>
      <c r="H119" s="66">
        <f>'National currencies'!H119</f>
        <v>100</v>
      </c>
      <c r="I119" s="48">
        <f>'National currencies'!I119</f>
        <v>150</v>
      </c>
      <c r="J119" s="48">
        <f>'National currencies'!J119</f>
        <v>400</v>
      </c>
      <c r="K119" s="61"/>
      <c r="L119" s="220"/>
      <c r="M119" s="62" t="str">
        <f>IF(ISBLANK(L119),"",IF(O2=0,0,M2))</f>
        <v/>
      </c>
      <c r="N119" s="49" t="str">
        <f>IF(ISBLANK(L119),"",IF(O2=0,0,N2))</f>
        <v/>
      </c>
      <c r="O119" s="63" t="str">
        <f>IF(ISBLANK(L119),"",O2)</f>
        <v/>
      </c>
      <c r="P119" s="69" t="str">
        <f>IF(ISBLANK(L119),"",IF(M119=0,0,IF(L119=1,H119+(M119-1)*H119,(H119+(L119-1)*G117)+(H119+(L119-1)*G117)*(M119-1))))</f>
        <v/>
      </c>
      <c r="Q119" s="70" t="str">
        <f>IF(ISBLANK(L119),"",IF(N119=0,0,IF(L119=1,I119+(N119-1)*I119,(I119+(L119-1)*G118)+(I119+(L119-1)*G118)*(N119-1))))</f>
        <v/>
      </c>
      <c r="R119" s="71" t="str">
        <f>IF(ISBLANK(L119),"",IF(O119=0,0,IF(L119=1,F119+(O119-1)*J119,(F119+(L119-1)*G119)+(J119+(L119-1)*G119)*(O119-1))))</f>
        <v/>
      </c>
      <c r="S119" s="64" t="str">
        <f>IF(ISBLANK(L119),"",IF(O119=0,"",P119+Q119+R119))</f>
        <v/>
      </c>
    </row>
    <row r="120" spans="1:19" x14ac:dyDescent="0.4">
      <c r="A120" s="45" t="s">
        <v>15</v>
      </c>
      <c r="B120" s="46" t="s">
        <v>108</v>
      </c>
      <c r="C120" s="46" t="s">
        <v>0</v>
      </c>
      <c r="D120" s="47" t="s">
        <v>429</v>
      </c>
      <c r="E120" s="67" t="str">
        <f>IF('National currencies'!E120="","",'National currencies'!E120)</f>
        <v/>
      </c>
      <c r="F120" s="66">
        <f>'National currencies'!F120</f>
        <v>100</v>
      </c>
      <c r="G120" s="65">
        <f>'National currencies'!G120</f>
        <v>0</v>
      </c>
      <c r="H120" s="66">
        <f>'National currencies'!H120</f>
        <v>100</v>
      </c>
      <c r="I120" s="48"/>
      <c r="J120" s="48"/>
      <c r="K120" s="61"/>
      <c r="L120" s="220"/>
      <c r="M120" s="62" t="str">
        <f>IF(ISBLANK(L120),"",IF((N2+O2)&gt;0,0,M2))</f>
        <v/>
      </c>
      <c r="N120" s="49"/>
      <c r="O120" s="63"/>
      <c r="P120" s="69" t="str">
        <f>IF(ISBLANK(L120),"",IF(M120=0,0,IF(L120=1,F120+(M120-1)*H120,(F120+(L120-1)*G120)+(H120+(L120-1)*G120)*(M120-1))))</f>
        <v/>
      </c>
      <c r="Q120" s="70"/>
      <c r="R120" s="71"/>
      <c r="S120" s="64" t="str">
        <f>IF(ISBLANK(L120),"",IF(M120=0,"",P120))</f>
        <v/>
      </c>
    </row>
    <row r="121" spans="1:19" x14ac:dyDescent="0.4">
      <c r="A121" s="45" t="s">
        <v>15</v>
      </c>
      <c r="B121" s="46" t="s">
        <v>109</v>
      </c>
      <c r="C121" s="46" t="s">
        <v>0</v>
      </c>
      <c r="D121" s="47" t="s">
        <v>429</v>
      </c>
      <c r="E121" s="67" t="str">
        <f>IF('National currencies'!E121="","",'National currencies'!E121)</f>
        <v/>
      </c>
      <c r="F121" s="66">
        <f>'National currencies'!F121</f>
        <v>150</v>
      </c>
      <c r="G121" s="65">
        <f>'National currencies'!G121</f>
        <v>0</v>
      </c>
      <c r="H121" s="66">
        <f>'National currencies'!H121</f>
        <v>100</v>
      </c>
      <c r="I121" s="48">
        <f>'National currencies'!I121</f>
        <v>150</v>
      </c>
      <c r="J121" s="48"/>
      <c r="K121" s="61"/>
      <c r="L121" s="220"/>
      <c r="M121" s="62" t="str">
        <f>IF(ISBLANK(L121),"",IF(O2&gt;0,0,IF(N2=0,0,M2)))</f>
        <v/>
      </c>
      <c r="N121" s="49" t="str">
        <f>IF(ISBLANK(L121),"",IF(O2&gt;0,0,N2))</f>
        <v/>
      </c>
      <c r="O121" s="63"/>
      <c r="P121" s="69" t="str">
        <f>IF(ISBLANK(L121),"",IF(M121=0,0,IF(L121=1,H121+(M121-1)*H121,(H121+(L121-1)*G120)+(H121+(L121-1)*G120)*(M121-1))))</f>
        <v/>
      </c>
      <c r="Q121" s="70" t="str">
        <f>IF(ISBLANK(L121),"",IF(N121=0,0,IF(L121=1,F121+(N121-1)*I121,(F121+(L121-1)*G121)+(I121+(L121-1)*G121)*(N121-1))))</f>
        <v/>
      </c>
      <c r="R121" s="71"/>
      <c r="S121" s="64" t="str">
        <f>IF(ISBLANK(L121),"",IF(N121=0,"",P121+Q121))</f>
        <v/>
      </c>
    </row>
    <row r="122" spans="1:19" x14ac:dyDescent="0.4">
      <c r="A122" s="45" t="s">
        <v>15</v>
      </c>
      <c r="B122" s="46" t="s">
        <v>110</v>
      </c>
      <c r="C122" s="46" t="s">
        <v>0</v>
      </c>
      <c r="D122" s="47" t="s">
        <v>429</v>
      </c>
      <c r="E122" s="67" t="str">
        <f>IF('National currencies'!E122="","",'National currencies'!E122)</f>
        <v/>
      </c>
      <c r="F122" s="66">
        <f>'National currencies'!F122</f>
        <v>400</v>
      </c>
      <c r="G122" s="65">
        <f>'National currencies'!G122</f>
        <v>0</v>
      </c>
      <c r="H122" s="66">
        <f>'National currencies'!H122</f>
        <v>100</v>
      </c>
      <c r="I122" s="48">
        <f>'National currencies'!I122</f>
        <v>150</v>
      </c>
      <c r="J122" s="48">
        <f>'National currencies'!J122</f>
        <v>400</v>
      </c>
      <c r="K122" s="61"/>
      <c r="L122" s="220"/>
      <c r="M122" s="62" t="str">
        <f>IF(ISBLANK(L122),"",IF(O2=0,0,M2))</f>
        <v/>
      </c>
      <c r="N122" s="49" t="str">
        <f>IF(ISBLANK(L122),"",IF(O2=0,0,N2))</f>
        <v/>
      </c>
      <c r="O122" s="63" t="str">
        <f>IF(ISBLANK(L122),"",O2)</f>
        <v/>
      </c>
      <c r="P122" s="69" t="str">
        <f>IF(ISBLANK(L122),"",IF(M122=0,0,IF(L122=1,H122+(M122-1)*H122,(H122+(L122-1)*G120)+(H122+(L122-1)*G120)*(M122-1))))</f>
        <v/>
      </c>
      <c r="Q122" s="70" t="str">
        <f>IF(ISBLANK(L122),"",IF(N122=0,0,IF(L122=1,I122+(N122-1)*I122,(I122+(L122-1)*G121)+(I122+(L122-1)*G121)*(N122-1))))</f>
        <v/>
      </c>
      <c r="R122" s="71" t="str">
        <f>IF(ISBLANK(L122),"",IF(O122=0,0,IF(L122=1,F122+(O122-1)*J122,(F122+(L122-1)*G122)+(J122+(L122-1)*G122)*(O122-1))))</f>
        <v/>
      </c>
      <c r="S122" s="64" t="str">
        <f>IF(ISBLANK(L122),"",IF(O122=0,"",P122+Q122+R122))</f>
        <v/>
      </c>
    </row>
    <row r="123" spans="1:19" x14ac:dyDescent="0.4">
      <c r="A123" s="45" t="s">
        <v>21</v>
      </c>
      <c r="B123" s="46" t="s">
        <v>108</v>
      </c>
      <c r="C123" s="46" t="s">
        <v>1</v>
      </c>
      <c r="D123" s="47"/>
      <c r="E123" s="67" t="str">
        <f>IF('National currencies'!E123="","",'National currencies'!E123)</f>
        <v/>
      </c>
      <c r="F123" s="66">
        <f>'National currencies'!F123</f>
        <v>1024</v>
      </c>
      <c r="G123" s="65">
        <f>'National currencies'!G123</f>
        <v>1024</v>
      </c>
      <c r="H123" s="66">
        <f>'National currencies'!H123</f>
        <v>1024</v>
      </c>
      <c r="I123" s="48"/>
      <c r="J123" s="48"/>
      <c r="K123" s="61"/>
      <c r="L123" s="220"/>
      <c r="M123" s="62" t="str">
        <f>IF(ISBLANK(L123),"",IF((N2+O2)&gt;0,0,M2))</f>
        <v/>
      </c>
      <c r="N123" s="49"/>
      <c r="O123" s="63"/>
      <c r="P123" s="69" t="str">
        <f>IF(ISBLANK(L123),"",IF(M123=0,0,IF(L123=1,F123+(M123-1)*H123,(F123+(L123-1)*G123)+(H123+(L123-1)*G123)*(M123-1))))</f>
        <v/>
      </c>
      <c r="Q123" s="70"/>
      <c r="R123" s="71"/>
      <c r="S123" s="64" t="str">
        <f>IF(ISBLANK(L123),"",IF(M123=0,"",P123))</f>
        <v/>
      </c>
    </row>
    <row r="124" spans="1:19" x14ac:dyDescent="0.4">
      <c r="A124" s="45" t="s">
        <v>21</v>
      </c>
      <c r="B124" s="46" t="s">
        <v>109</v>
      </c>
      <c r="C124" s="46" t="s">
        <v>1</v>
      </c>
      <c r="D124" s="47"/>
      <c r="E124" s="67" t="str">
        <f>IF('National currencies'!E124="","",'National currencies'!E124)</f>
        <v/>
      </c>
      <c r="F124" s="66">
        <f>'National currencies'!F124</f>
        <v>2048</v>
      </c>
      <c r="G124" s="65">
        <f>'National currencies'!G124</f>
        <v>2048</v>
      </c>
      <c r="H124" s="66">
        <f>'National currencies'!H124</f>
        <v>1024</v>
      </c>
      <c r="I124" s="48">
        <f>'National currencies'!I124</f>
        <v>2048</v>
      </c>
      <c r="J124" s="48"/>
      <c r="K124" s="61"/>
      <c r="L124" s="220"/>
      <c r="M124" s="62" t="str">
        <f>IF(ISBLANK(L124),"",IF(O2&gt;0,0,IF(N2=0,0,M2)))</f>
        <v/>
      </c>
      <c r="N124" s="49" t="str">
        <f>IF(ISBLANK(L124),"",IF(O2&gt;0,0,N2))</f>
        <v/>
      </c>
      <c r="O124" s="63"/>
      <c r="P124" s="69" t="str">
        <f>IF(ISBLANK(L124),"",IF(M124=0,0,IF(L124=1,H124+(M124-1)*H124,(H124+(L124-1)*G123)+(H124+(L124-1)*G123)*(M124-1))))</f>
        <v/>
      </c>
      <c r="Q124" s="70" t="str">
        <f>IF(ISBLANK(L124),"",IF(N124=0,0,IF(L124=1,F124+(N124-1)*I124,(F124+(L124-1)*G124)+(I124+(L124-1)*G124)*(N124-1))))</f>
        <v/>
      </c>
      <c r="R124" s="71"/>
      <c r="S124" s="64" t="str">
        <f>IF(ISBLANK(L124),"",IF(N124=0,"",P124+Q124))</f>
        <v/>
      </c>
    </row>
    <row r="125" spans="1:19" x14ac:dyDescent="0.4">
      <c r="A125" s="45" t="s">
        <v>21</v>
      </c>
      <c r="B125" s="46" t="s">
        <v>110</v>
      </c>
      <c r="C125" s="46" t="s">
        <v>1</v>
      </c>
      <c r="D125" s="47"/>
      <c r="E125" s="67" t="str">
        <f>IF('National currencies'!E125="","",'National currencies'!E125)</f>
        <v/>
      </c>
      <c r="F125" s="66">
        <f>'National currencies'!F125</f>
        <v>3072</v>
      </c>
      <c r="G125" s="65">
        <f>'National currencies'!G125</f>
        <v>3072</v>
      </c>
      <c r="H125" s="66">
        <f>'National currencies'!H125</f>
        <v>1024</v>
      </c>
      <c r="I125" s="48">
        <f>'National currencies'!I125</f>
        <v>2048</v>
      </c>
      <c r="J125" s="48">
        <f>'National currencies'!J125</f>
        <v>3072</v>
      </c>
      <c r="K125" s="61"/>
      <c r="L125" s="220"/>
      <c r="M125" s="62" t="str">
        <f>IF(ISBLANK(L125),"",IF(O2=0,0,M2))</f>
        <v/>
      </c>
      <c r="N125" s="49" t="str">
        <f>IF(ISBLANK(L125),"",IF(O2=0,0,N2))</f>
        <v/>
      </c>
      <c r="O125" s="63" t="str">
        <f>IF(ISBLANK(L125),"",O2)</f>
        <v/>
      </c>
      <c r="P125" s="69" t="str">
        <f>IF(ISBLANK(L125),"",IF(M125=0,0,IF(L125=1,H125+(M125-1)*H125,(H125+(L125-1)*G123)+(H125+(L125-1)*G123)*(M125-1))))</f>
        <v/>
      </c>
      <c r="Q125" s="70" t="str">
        <f>IF(ISBLANK(L125),"",IF(N125=0,0,IF(L125=1,I125+(N125-1)*I125,(I125+(L125-1)*G124)+(I125+(L125-1)*G124)*(N125-1))))</f>
        <v/>
      </c>
      <c r="R125" s="71" t="str">
        <f>IF(ISBLANK(L125),"",IF(O125=0,0,IF(L125=1,F125+(O125-1)*J125,(F125+(L125-1)*G125)+(J125+(L125-1)*G125)*(O125-1))))</f>
        <v/>
      </c>
      <c r="S125" s="64" t="str">
        <f>IF(ISBLANK(L125),"",IF(O125=0,"",P125+Q125+R125))</f>
        <v/>
      </c>
    </row>
    <row r="126" spans="1:19" x14ac:dyDescent="0.4">
      <c r="A126" s="45" t="s">
        <v>21</v>
      </c>
      <c r="B126" s="46" t="s">
        <v>110</v>
      </c>
      <c r="C126" s="46" t="s">
        <v>1</v>
      </c>
      <c r="D126" s="47" t="s">
        <v>22</v>
      </c>
      <c r="E126" s="67" t="str">
        <f>IF('National currencies'!E126="","",'National currencies'!E126)</f>
        <v/>
      </c>
      <c r="F126" s="66">
        <f>'National currencies'!F126</f>
        <v>10240</v>
      </c>
      <c r="G126" s="65">
        <f>'National currencies'!G126</f>
        <v>10240</v>
      </c>
      <c r="H126" s="66">
        <f>'National currencies'!H126</f>
        <v>1024</v>
      </c>
      <c r="I126" s="48">
        <f>'National currencies'!I126</f>
        <v>2048</v>
      </c>
      <c r="J126" s="48">
        <f>'National currencies'!J126</f>
        <v>10240</v>
      </c>
      <c r="K126" s="61"/>
      <c r="L126" s="220"/>
      <c r="M126" s="62" t="str">
        <f>IF(ISBLANK(L126),"",IF(O2=0,0,M2))</f>
        <v/>
      </c>
      <c r="N126" s="49" t="str">
        <f>IF(ISBLANK(L126),"",IF(O2=0,0,N2))</f>
        <v/>
      </c>
      <c r="O126" s="63" t="str">
        <f>IF(ISBLANK(L126),"",O2)</f>
        <v/>
      </c>
      <c r="P126" s="69" t="str">
        <f>IF(ISBLANK(L126),"",IF(M126=0,0,IF(L126=1,H126+(M126-1)*H126,(H126+(L126-1)*G123)+(H126+(L126-1)*G123)*(M126-1))))</f>
        <v/>
      </c>
      <c r="Q126" s="70" t="str">
        <f>IF(ISBLANK(L126),"",IF(N126=0,0,IF(L126=1,I126+(N126-1)*I126,(I126+(L126-1)*G124)+(I126+(L126-1)*G124)*(N126-1))))</f>
        <v/>
      </c>
      <c r="R126" s="71" t="str">
        <f>IF(ISBLANK(L126),"",IF(O126=0,0,IF(L126=1,F126+(O126-1)*J126,(F126+(L126-1)*G126)+(J126+(L126-1)*G126)*(O126-1))))</f>
        <v/>
      </c>
      <c r="S126" s="64" t="str">
        <f>IF(ISBLANK(L126),"",IF(O126=0,"",P126+Q126+R126))</f>
        <v/>
      </c>
    </row>
    <row r="127" spans="1:19" x14ac:dyDescent="0.4">
      <c r="A127" s="45" t="s">
        <v>21</v>
      </c>
      <c r="B127" s="46" t="s">
        <v>108</v>
      </c>
      <c r="C127" s="46" t="s">
        <v>2</v>
      </c>
      <c r="D127" s="47"/>
      <c r="E127" s="67" t="str">
        <f>IF('National currencies'!E127="","",'National currencies'!E127)</f>
        <v/>
      </c>
      <c r="F127" s="66">
        <f>'National currencies'!F127</f>
        <v>512</v>
      </c>
      <c r="G127" s="65">
        <f>'National currencies'!G127</f>
        <v>512</v>
      </c>
      <c r="H127" s="66">
        <f>'National currencies'!H127</f>
        <v>512</v>
      </c>
      <c r="I127" s="48"/>
      <c r="J127" s="48"/>
      <c r="K127" s="61"/>
      <c r="L127" s="220"/>
      <c r="M127" s="62" t="str">
        <f>IF(ISBLANK(L127),"",IF((N2+O2)&gt;0,0,M2))</f>
        <v/>
      </c>
      <c r="N127" s="49"/>
      <c r="O127" s="63"/>
      <c r="P127" s="69" t="str">
        <f>IF(ISBLANK(L127),"",IF(M127=0,0,IF(L127=1,F127+(M127-1)*H127,(F127+(L127-1)*G127)+(H127+(L127-1)*G127)*(M127-1))))</f>
        <v/>
      </c>
      <c r="Q127" s="70"/>
      <c r="R127" s="71"/>
      <c r="S127" s="64" t="str">
        <f>IF(ISBLANK(L127),"",IF(M127=0,"",P127))</f>
        <v/>
      </c>
    </row>
    <row r="128" spans="1:19" x14ac:dyDescent="0.4">
      <c r="A128" s="45" t="s">
        <v>21</v>
      </c>
      <c r="B128" s="46" t="s">
        <v>109</v>
      </c>
      <c r="C128" s="46" t="s">
        <v>2</v>
      </c>
      <c r="D128" s="47"/>
      <c r="E128" s="67" t="str">
        <f>IF('National currencies'!E128="","",'National currencies'!E128)</f>
        <v/>
      </c>
      <c r="F128" s="66">
        <f>'National currencies'!F128</f>
        <v>1024</v>
      </c>
      <c r="G128" s="65">
        <f>'National currencies'!G128</f>
        <v>1024</v>
      </c>
      <c r="H128" s="66">
        <f>'National currencies'!H128</f>
        <v>512</v>
      </c>
      <c r="I128" s="48">
        <f>'National currencies'!I128</f>
        <v>1024</v>
      </c>
      <c r="J128" s="48"/>
      <c r="K128" s="61"/>
      <c r="L128" s="220"/>
      <c r="M128" s="62" t="str">
        <f>IF(ISBLANK(L128),"",IF(O2&gt;0,0,IF(N2=0,0,M2)))</f>
        <v/>
      </c>
      <c r="N128" s="49" t="str">
        <f>IF(ISBLANK(L128),"",IF(O2&gt;0,0,N2))</f>
        <v/>
      </c>
      <c r="O128" s="63"/>
      <c r="P128" s="69" t="str">
        <f>IF(ISBLANK(L128),"",IF(M128=0,0,IF(L128=1,H128+(M128-1)*H128,(H128+(L128-1)*G127)+(H128+(L128-1)*G127)*(M128-1))))</f>
        <v/>
      </c>
      <c r="Q128" s="70" t="str">
        <f>IF(ISBLANK(L128),"",IF(N128=0,0,IF(L128=1,F128+(N128-1)*I128,(F128+(L128-1)*G128)+(I128+(L128-1)*G128)*(N128-1))))</f>
        <v/>
      </c>
      <c r="R128" s="71"/>
      <c r="S128" s="64" t="str">
        <f>IF(ISBLANK(L128),"",IF(N128=0,"",P128+Q128))</f>
        <v/>
      </c>
    </row>
    <row r="129" spans="1:19" x14ac:dyDescent="0.4">
      <c r="A129" s="45" t="s">
        <v>21</v>
      </c>
      <c r="B129" s="46" t="s">
        <v>110</v>
      </c>
      <c r="C129" s="46" t="s">
        <v>2</v>
      </c>
      <c r="D129" s="47"/>
      <c r="E129" s="67" t="str">
        <f>IF('National currencies'!E129="","",'National currencies'!E129)</f>
        <v/>
      </c>
      <c r="F129" s="66">
        <f>'National currencies'!F129</f>
        <v>2048</v>
      </c>
      <c r="G129" s="65">
        <f>'National currencies'!G129</f>
        <v>2048</v>
      </c>
      <c r="H129" s="66">
        <f>'National currencies'!H129</f>
        <v>512</v>
      </c>
      <c r="I129" s="48">
        <f>'National currencies'!I129</f>
        <v>1024</v>
      </c>
      <c r="J129" s="48">
        <f>'National currencies'!J129</f>
        <v>2048</v>
      </c>
      <c r="K129" s="61"/>
      <c r="L129" s="220"/>
      <c r="M129" s="62" t="str">
        <f>IF(ISBLANK(L129),"",IF(O2=0,0,M2))</f>
        <v/>
      </c>
      <c r="N129" s="49" t="str">
        <f>IF(ISBLANK(L129),"",IF(O2=0,0,N2))</f>
        <v/>
      </c>
      <c r="O129" s="63" t="str">
        <f>IF(ISBLANK(L129),"",O2)</f>
        <v/>
      </c>
      <c r="P129" s="69" t="str">
        <f>IF(ISBLANK(L129),"",IF(M129=0,0,IF(L129=1,H129+(M129-1)*H129,(H129+(L129-1)*G127)+(H129+(L129-1)*G127)*(M129-1))))</f>
        <v/>
      </c>
      <c r="Q129" s="70" t="str">
        <f>IF(ISBLANK(L129),"",IF(N129=0,0,IF(L129=1,I129+(N129-1)*I129,(I129+(L129-1)*G128)+(I129+(L129-1)*G128)*(N129-1))))</f>
        <v/>
      </c>
      <c r="R129" s="71" t="str">
        <f>IF(ISBLANK(L129),"",IF(O129=0,0,IF(L129=1,F129+(O129-1)*J129,(F129+(L129-1)*G129)+(J129+(L129-1)*G129)*(O129-1))))</f>
        <v/>
      </c>
      <c r="S129" s="64" t="str">
        <f>IF(ISBLANK(L129),"",IF(O129=0,"",P129+Q129+R129))</f>
        <v/>
      </c>
    </row>
    <row r="130" spans="1:19" x14ac:dyDescent="0.4">
      <c r="A130" s="45" t="s">
        <v>21</v>
      </c>
      <c r="B130" s="46" t="s">
        <v>110</v>
      </c>
      <c r="C130" s="46" t="s">
        <v>2</v>
      </c>
      <c r="D130" s="47" t="s">
        <v>22</v>
      </c>
      <c r="E130" s="67" t="str">
        <f>IF('National currencies'!E130="","",'National currencies'!E130)</f>
        <v/>
      </c>
      <c r="F130" s="66">
        <f>'National currencies'!F130</f>
        <v>5120</v>
      </c>
      <c r="G130" s="65">
        <f>'National currencies'!G130</f>
        <v>5120</v>
      </c>
      <c r="H130" s="66">
        <f>'National currencies'!H130</f>
        <v>512</v>
      </c>
      <c r="I130" s="48">
        <f>'National currencies'!I130</f>
        <v>1024</v>
      </c>
      <c r="J130" s="48">
        <f>'National currencies'!J130</f>
        <v>5120</v>
      </c>
      <c r="K130" s="61"/>
      <c r="L130" s="220"/>
      <c r="M130" s="62" t="str">
        <f>IF(ISBLANK(L130),"",IF(O2=0,0,M2))</f>
        <v/>
      </c>
      <c r="N130" s="49" t="str">
        <f>IF(ISBLANK(L130),"",IF(O2=0,0,N2))</f>
        <v/>
      </c>
      <c r="O130" s="63" t="str">
        <f>IF(ISBLANK(L130),"",O2)</f>
        <v/>
      </c>
      <c r="P130" s="69" t="str">
        <f>IF(ISBLANK(L130),"",IF(M130=0,0,IF(L130=1,H130+(M130-1)*H130,(H130+(L130-1)*G127)+(H130+(L130-1)*G127)*(M130-1))))</f>
        <v/>
      </c>
      <c r="Q130" s="70" t="str">
        <f>IF(ISBLANK(L130),"",IF(N130=0,0,IF(L130=1,I130+(N130-1)*I130,(I130+(L130-1)*G128)+(I130+(L130-1)*G128)*(N130-1))))</f>
        <v/>
      </c>
      <c r="R130" s="71" t="str">
        <f>IF(ISBLANK(L130),"",IF(O130=0,0,IF(L130=1,F130+(O130-1)*J130,(F130+(L130-1)*G130)+(J130+(L130-1)*G130)*(O130-1))))</f>
        <v/>
      </c>
      <c r="S130" s="64" t="str">
        <f>IF(ISBLANK(L130),"",IF(O130=0,"",P130+Q130+R130))</f>
        <v/>
      </c>
    </row>
    <row r="131" spans="1:19" x14ac:dyDescent="0.4">
      <c r="A131" s="45" t="s">
        <v>21</v>
      </c>
      <c r="B131" s="46" t="s">
        <v>108</v>
      </c>
      <c r="C131" s="46" t="s">
        <v>0</v>
      </c>
      <c r="D131" s="47"/>
      <c r="E131" s="67" t="str">
        <f>IF('National currencies'!E131="","",'National currencies'!E131)</f>
        <v/>
      </c>
      <c r="F131" s="66">
        <f>'National currencies'!F131</f>
        <v>512</v>
      </c>
      <c r="G131" s="65">
        <f>'National currencies'!G131</f>
        <v>512</v>
      </c>
      <c r="H131" s="66">
        <f>'National currencies'!H131</f>
        <v>512</v>
      </c>
      <c r="I131" s="48"/>
      <c r="J131" s="48"/>
      <c r="K131" s="61"/>
      <c r="L131" s="220"/>
      <c r="M131" s="62" t="str">
        <f>IF(ISBLANK(L131),"",IF((N2+O2)&gt;0,0,M2))</f>
        <v/>
      </c>
      <c r="N131" s="49"/>
      <c r="O131" s="63"/>
      <c r="P131" s="69" t="str">
        <f>IF(ISBLANK(L131),"",IF(M131=0,0,IF(L131=1,F131+(M131-1)*H131,(F131+(L131-1)*G131)+(H131+(L131-1)*G131)*(M131-1))))</f>
        <v/>
      </c>
      <c r="Q131" s="70"/>
      <c r="R131" s="71"/>
      <c r="S131" s="64" t="str">
        <f>IF(ISBLANK(L131),"",IF(M131=0,"",P131))</f>
        <v/>
      </c>
    </row>
    <row r="132" spans="1:19" x14ac:dyDescent="0.4">
      <c r="A132" s="45" t="s">
        <v>21</v>
      </c>
      <c r="B132" s="46" t="s">
        <v>109</v>
      </c>
      <c r="C132" s="46" t="s">
        <v>0</v>
      </c>
      <c r="D132" s="47"/>
      <c r="E132" s="67" t="str">
        <f>IF('National currencies'!E132="","",'National currencies'!E132)</f>
        <v/>
      </c>
      <c r="F132" s="66">
        <f>'National currencies'!F132</f>
        <v>1024</v>
      </c>
      <c r="G132" s="65">
        <f>'National currencies'!G132</f>
        <v>1024</v>
      </c>
      <c r="H132" s="66">
        <f>'National currencies'!H132</f>
        <v>512</v>
      </c>
      <c r="I132" s="48">
        <f>'National currencies'!I132</f>
        <v>1024</v>
      </c>
      <c r="J132" s="48"/>
      <c r="K132" s="61"/>
      <c r="L132" s="220"/>
      <c r="M132" s="62" t="str">
        <f>IF(ISBLANK(L132),"",IF(O2&gt;0,0,IF(N2=0,0,M2)))</f>
        <v/>
      </c>
      <c r="N132" s="49" t="str">
        <f>IF(ISBLANK(L132),"",IF(O2&gt;0,0,N2))</f>
        <v/>
      </c>
      <c r="O132" s="63"/>
      <c r="P132" s="69" t="str">
        <f>IF(ISBLANK(L132),"",IF(M132=0,0,IF(L132=1,H132+(M132-1)*H132,(H132+(L132-1)*G131)+(H132+(L132-1)*G131)*(M132-1))))</f>
        <v/>
      </c>
      <c r="Q132" s="70" t="str">
        <f>IF(ISBLANK(L132),"",IF(N132=0,0,IF(L132=1,F132+(N132-1)*I132,(F132+(L132-1)*G132)+(I132+(L132-1)*G132)*(N132-1))))</f>
        <v/>
      </c>
      <c r="R132" s="71"/>
      <c r="S132" s="64" t="str">
        <f>IF(ISBLANK(L132),"",IF(N132=0,"",P132+Q132))</f>
        <v/>
      </c>
    </row>
    <row r="133" spans="1:19" x14ac:dyDescent="0.4">
      <c r="A133" s="45" t="s">
        <v>21</v>
      </c>
      <c r="B133" s="46" t="s">
        <v>110</v>
      </c>
      <c r="C133" s="46" t="s">
        <v>0</v>
      </c>
      <c r="D133" s="47"/>
      <c r="E133" s="67" t="str">
        <f>IF('National currencies'!E133="","",'National currencies'!E133)</f>
        <v/>
      </c>
      <c r="F133" s="66">
        <f>'National currencies'!F133</f>
        <v>2048</v>
      </c>
      <c r="G133" s="65">
        <f>'National currencies'!G133</f>
        <v>2048</v>
      </c>
      <c r="H133" s="66">
        <f>'National currencies'!H133</f>
        <v>512</v>
      </c>
      <c r="I133" s="48">
        <f>'National currencies'!I133</f>
        <v>1024</v>
      </c>
      <c r="J133" s="48">
        <f>'National currencies'!J133</f>
        <v>2048</v>
      </c>
      <c r="K133" s="61"/>
      <c r="L133" s="220"/>
      <c r="M133" s="62" t="str">
        <f>IF(ISBLANK(L133),"",IF(O2=0,0,M2))</f>
        <v/>
      </c>
      <c r="N133" s="49" t="str">
        <f>IF(ISBLANK(L133),"",IF(O2=0,0,N2))</f>
        <v/>
      </c>
      <c r="O133" s="63" t="str">
        <f>IF(ISBLANK(L133),"",O2)</f>
        <v/>
      </c>
      <c r="P133" s="69" t="str">
        <f>IF(ISBLANK(L133),"",IF(M133=0,0,IF(L133=1,H133+(M133-1)*H133,(H133+(L133-1)*G131)+(H133+(L133-1)*G131)*(M133-1))))</f>
        <v/>
      </c>
      <c r="Q133" s="70" t="str">
        <f>IF(ISBLANK(L133),"",IF(N133=0,0,IF(L133=1,I133+(N133-1)*I133,(I133+(L133-1)*G132)+(I133+(L133-1)*G132)*(N133-1))))</f>
        <v/>
      </c>
      <c r="R133" s="71" t="str">
        <f>IF(ISBLANK(L133),"",IF(O133=0,0,IF(L133=1,F133+(O133-1)*J133,(F133+(L133-1)*G133)+(J133+(L133-1)*G133)*(O133-1))))</f>
        <v/>
      </c>
      <c r="S133" s="64" t="str">
        <f>IF(ISBLANK(L133),"",IF(O133=0,"",P133+Q133+R133))</f>
        <v/>
      </c>
    </row>
    <row r="134" spans="1:19" x14ac:dyDescent="0.4">
      <c r="A134" s="45" t="s">
        <v>21</v>
      </c>
      <c r="B134" s="46" t="s">
        <v>110</v>
      </c>
      <c r="C134" s="46" t="s">
        <v>0</v>
      </c>
      <c r="D134" s="47" t="s">
        <v>22</v>
      </c>
      <c r="E134" s="67" t="str">
        <f>IF('National currencies'!E134="","",'National currencies'!E134)</f>
        <v/>
      </c>
      <c r="F134" s="66">
        <f>'National currencies'!F134</f>
        <v>5120</v>
      </c>
      <c r="G134" s="65">
        <f>'National currencies'!G134</f>
        <v>5120</v>
      </c>
      <c r="H134" s="66">
        <f>'National currencies'!H134</f>
        <v>512</v>
      </c>
      <c r="I134" s="48">
        <f>'National currencies'!I134</f>
        <v>1024</v>
      </c>
      <c r="J134" s="48">
        <f>'National currencies'!J134</f>
        <v>5120</v>
      </c>
      <c r="K134" s="61"/>
      <c r="L134" s="220"/>
      <c r="M134" s="62" t="str">
        <f>IF(ISBLANK(L134),"",IF(O2=0,0,M2))</f>
        <v/>
      </c>
      <c r="N134" s="49" t="str">
        <f>IF(ISBLANK(L134),"",IF(O2=0,0,N2))</f>
        <v/>
      </c>
      <c r="O134" s="63" t="str">
        <f>IF(ISBLANK(L134),"",O2)</f>
        <v/>
      </c>
      <c r="P134" s="69" t="str">
        <f>IF(ISBLANK(L134),"",IF(M134=0,0,IF(L134=1,H134+(M134-1)*H134,(H134+(L134-1)*G131)+(H134+(L134-1)*G131)*(M134-1))))</f>
        <v/>
      </c>
      <c r="Q134" s="70" t="str">
        <f>IF(ISBLANK(L134),"",IF(N134=0,0,IF(L134=1,I134+(N134-1)*I134,(I134+(L134-1)*G132)+(I134+(L134-1)*G132)*(N134-1))))</f>
        <v/>
      </c>
      <c r="R134" s="71" t="str">
        <f>IF(ISBLANK(L134),"",IF(O134=0,0,IF(L134=1,F134+(O134-1)*J134,(F134+(L134-1)*G134)+(J134+(L134-1)*G134)*(O134-1))))</f>
        <v/>
      </c>
      <c r="S134" s="64" t="str">
        <f>IF(ISBLANK(L134),"",IF(O134=0,"",P134+Q134+R134))</f>
        <v/>
      </c>
    </row>
    <row r="135" spans="1:19" x14ac:dyDescent="0.4">
      <c r="A135" s="45" t="s">
        <v>23</v>
      </c>
      <c r="B135" s="46" t="s">
        <v>108</v>
      </c>
      <c r="C135" s="46" t="s">
        <v>1</v>
      </c>
      <c r="D135" s="47" t="s">
        <v>528</v>
      </c>
      <c r="E135" s="67" t="str">
        <f>IF('National currencies'!E135="","",'National currencies'!E135)</f>
        <v/>
      </c>
      <c r="F135" s="66">
        <f>'National currencies'!F135</f>
        <v>0</v>
      </c>
      <c r="G135" s="65">
        <f>'National currencies'!G135</f>
        <v>0</v>
      </c>
      <c r="H135" s="66">
        <f>'National currencies'!H135</f>
        <v>0</v>
      </c>
      <c r="I135" s="48"/>
      <c r="J135" s="48"/>
      <c r="K135" s="61"/>
      <c r="L135" s="220"/>
      <c r="M135" s="62" t="str">
        <f>IF(ISBLANK(L135),"",IF((N2+O2)&gt;0,0,M2))</f>
        <v/>
      </c>
      <c r="N135" s="49"/>
      <c r="O135" s="63"/>
      <c r="P135" s="69" t="str">
        <f>IF(ISBLANK(L135),"",IF(M135=0,0,IF(L135=1,F135+(M135-1)*H135,(F135+(L135-1)*G135)+(H135+(L135-1)*G135)*(M135-1))))</f>
        <v/>
      </c>
      <c r="Q135" s="70"/>
      <c r="R135" s="71"/>
      <c r="S135" s="64" t="str">
        <f>IF(ISBLANK(L135),"",IF(M135=0,"",P135))</f>
        <v/>
      </c>
    </row>
    <row r="136" spans="1:19" x14ac:dyDescent="0.4">
      <c r="A136" s="45" t="s">
        <v>23</v>
      </c>
      <c r="B136" s="46" t="s">
        <v>108</v>
      </c>
      <c r="C136" s="46" t="s">
        <v>1</v>
      </c>
      <c r="D136" s="47" t="s">
        <v>9</v>
      </c>
      <c r="E136" s="67" t="str">
        <f>IF('National currencies'!E136="","",'National currencies'!E136)</f>
        <v>Group 1 - 1.7</v>
      </c>
      <c r="F136" s="66">
        <f>'National currencies'!F136</f>
        <v>413.86249999999995</v>
      </c>
      <c r="G136" s="65">
        <f>'National currencies'!G136</f>
        <v>124.15874999999998</v>
      </c>
      <c r="H136" s="66">
        <f>'National currencies'!H136</f>
        <v>413.86249999999995</v>
      </c>
      <c r="I136" s="48"/>
      <c r="J136" s="48"/>
      <c r="K136" s="61"/>
      <c r="L136" s="220"/>
      <c r="M136" s="62" t="str">
        <f>IF(ISBLANK(L136),"",IF((N2+O2)&gt;0,0,M2))</f>
        <v/>
      </c>
      <c r="N136" s="49"/>
      <c r="O136" s="63"/>
      <c r="P136" s="69" t="str">
        <f>IF(ISBLANK(L136),"",IF(M136=0,0,IF(L136=1,F136+(M136-1)*H136,(F136+(L136-1)*G136)+(H136+(L136-1)*G136)*(M136-1))))</f>
        <v/>
      </c>
      <c r="Q136" s="70"/>
      <c r="R136" s="71"/>
      <c r="S136" s="64" t="str">
        <f>IF(ISBLANK(L136),"",IF(M136=0,"",P136))</f>
        <v/>
      </c>
    </row>
    <row r="137" spans="1:19" x14ac:dyDescent="0.4">
      <c r="A137" s="45" t="s">
        <v>23</v>
      </c>
      <c r="B137" s="46" t="s">
        <v>109</v>
      </c>
      <c r="C137" s="46" t="s">
        <v>1</v>
      </c>
      <c r="D137" s="47" t="s">
        <v>526</v>
      </c>
      <c r="E137" s="67" t="str">
        <f>IF('National currencies'!E137="","",'National currencies'!E137)</f>
        <v>Group 1 - 1.6</v>
      </c>
      <c r="F137" s="66">
        <f>'National currencies'!F137</f>
        <v>2511.0749999999998</v>
      </c>
      <c r="G137" s="65">
        <f>'National currencies'!G137</f>
        <v>753.32249999999988</v>
      </c>
      <c r="H137" s="66">
        <f>'National currencies'!H137</f>
        <v>0</v>
      </c>
      <c r="I137" s="48">
        <f>'National currencies'!I137</f>
        <v>2511.0749999999998</v>
      </c>
      <c r="J137" s="48"/>
      <c r="K137" s="61"/>
      <c r="L137" s="220"/>
      <c r="M137" s="62" t="str">
        <f>IF(ISBLANK(L137),"",IF(O2&gt;0,0,IF(N2=0,0,M2)))</f>
        <v/>
      </c>
      <c r="N137" s="49" t="str">
        <f>IF(ISBLANK(L137),"",IF(O2&gt;0,0,N2))</f>
        <v/>
      </c>
      <c r="O137" s="63"/>
      <c r="P137" s="69" t="str">
        <f>IF(ISBLANK(L137),"",IF(M137=0,0,IF(L137=1,H137+(M137-1)*H137,(H137+(L137-1)*G135)+(H137+(L137-1)*G135)*(M137-1))))</f>
        <v/>
      </c>
      <c r="Q137" s="70" t="str">
        <f>IF(ISBLANK(L137),"",IF(N137=0,0,IF(L137=1,F137+(N137-1)*I137,(F137+(L137-1)*G137)+(I137+(L137-1)*G137)*(N137-1))))</f>
        <v/>
      </c>
      <c r="R137" s="71"/>
      <c r="S137" s="64" t="str">
        <f>IF(ISBLANK(L137),"",IF(N137=0,"",IF((P137+Q137)&gt;17043,17043,P137+Q137)))</f>
        <v/>
      </c>
    </row>
    <row r="138" spans="1:19" x14ac:dyDescent="0.4">
      <c r="A138" s="45" t="s">
        <v>23</v>
      </c>
      <c r="B138" s="46" t="s">
        <v>109</v>
      </c>
      <c r="C138" s="46" t="s">
        <v>1</v>
      </c>
      <c r="D138" s="98" t="s">
        <v>527</v>
      </c>
      <c r="E138" s="67" t="str">
        <f>IF('National currencies'!E138="","",'National currencies'!E138)</f>
        <v>Group 1 - 1.6</v>
      </c>
      <c r="F138" s="66">
        <f>'National currencies'!F138</f>
        <v>2511.0749999999998</v>
      </c>
      <c r="G138" s="65">
        <f>'National currencies'!G138</f>
        <v>753.32249999999988</v>
      </c>
      <c r="H138" s="66">
        <f>'National currencies'!H138</f>
        <v>0</v>
      </c>
      <c r="I138" s="48">
        <f>'National currencies'!I138</f>
        <v>2511.0749999999998</v>
      </c>
      <c r="J138" s="48"/>
      <c r="K138" s="61"/>
      <c r="L138" s="220"/>
      <c r="M138" s="62" t="str">
        <f>IF(ISBLANK(L138),"",IF(O2&gt;0,0,IF(N2=0,0,M2)))</f>
        <v/>
      </c>
      <c r="N138" s="49" t="str">
        <f>IF(ISBLANK(L138),"",IF(O2&gt;0,0,N2))</f>
        <v/>
      </c>
      <c r="O138" s="63"/>
      <c r="P138" s="69" t="str">
        <f>IF(ISBLANK(L138),"",IF(M138=0,0,IF(L138=1,H138+(M138-1)*H138,(H138+(L138-1)*G136)+(H138+(L138-1)*G136)*(M138-1))))</f>
        <v/>
      </c>
      <c r="Q138" s="70" t="str">
        <f>IF(ISBLANK(L138),"",IF(N138=0,0,IF(L138=1,F138+(N138-1)*I138,(F138+(L138-1)*G138)+(I138+(L138-1)*G138)*(N138-1))))</f>
        <v/>
      </c>
      <c r="R138" s="71"/>
      <c r="S138" s="64" t="str">
        <f>IF(ISBLANK(L138),"",IF(N138=0,"",IF((P138+Q138)&gt;8736.33,8736.33,P138+Q138)))</f>
        <v/>
      </c>
    </row>
    <row r="139" spans="1:19" x14ac:dyDescent="0.4">
      <c r="A139" s="45" t="s">
        <v>23</v>
      </c>
      <c r="B139" s="46" t="s">
        <v>109</v>
      </c>
      <c r="C139" s="46" t="s">
        <v>1</v>
      </c>
      <c r="D139" s="47" t="s">
        <v>9</v>
      </c>
      <c r="E139" s="67" t="str">
        <f>IF('National currencies'!E139="","",'National currencies'!E139)</f>
        <v>Group 1 - 1.7</v>
      </c>
      <c r="F139" s="66">
        <f>'National currencies'!F139</f>
        <v>413.86249999999995</v>
      </c>
      <c r="G139" s="65">
        <f>'National currencies'!G139</f>
        <v>124.15874999999998</v>
      </c>
      <c r="H139" s="66">
        <f>'National currencies'!H139</f>
        <v>413.86249999999995</v>
      </c>
      <c r="I139" s="48">
        <f>'National currencies'!I139</f>
        <v>413.86249999999995</v>
      </c>
      <c r="J139" s="48"/>
      <c r="K139" s="61"/>
      <c r="L139" s="220"/>
      <c r="M139" s="62" t="str">
        <f>IF(ISBLANK(L139),"",IF(O2&gt;0,0,IF(N2=0,0,M2)))</f>
        <v/>
      </c>
      <c r="N139" s="49" t="str">
        <f>IF(ISBLANK(L139),"",IF(O2&gt;0,0,N2))</f>
        <v/>
      </c>
      <c r="O139" s="63"/>
      <c r="P139" s="69" t="str">
        <f>IF(ISBLANK(L139),"",IF(M139=0,0,IF(L139=1,H139+(M139-1)*H139,(H139+(L139-1)*G136)+(H139+(L139-1)*G136)*(M139-1))))</f>
        <v/>
      </c>
      <c r="Q139" s="70" t="str">
        <f>IF(ISBLANK(L139),"",IF(N139=0,0,IF(L139=1,F139+(N139-1)*I139,(F139+(L139-1)*G139)+(I139+(L139-1)*G139)*(N139-1))))</f>
        <v/>
      </c>
      <c r="R139" s="71"/>
      <c r="S139" s="64" t="str">
        <f>IF(ISBLANK(L139),"",IF(N139=0,"",IF((P139+Q139)&gt;1131.59,1131.59,P139+Q139)))</f>
        <v/>
      </c>
    </row>
    <row r="140" spans="1:19" x14ac:dyDescent="0.4">
      <c r="A140" s="45" t="s">
        <v>23</v>
      </c>
      <c r="B140" s="46" t="s">
        <v>110</v>
      </c>
      <c r="C140" s="46" t="s">
        <v>1</v>
      </c>
      <c r="D140" s="47" t="s">
        <v>526</v>
      </c>
      <c r="E140" s="67" t="str">
        <f>IF('National currencies'!E140="","",'National currencies'!E140)</f>
        <v>Group 1 - 1.5</v>
      </c>
      <c r="F140" s="66">
        <f>'National currencies'!F140</f>
        <v>4386.3249999999998</v>
      </c>
      <c r="G140" s="65">
        <f>'National currencies'!G140</f>
        <v>1315.8974999999998</v>
      </c>
      <c r="H140" s="66">
        <f>'National currencies'!H140</f>
        <v>0</v>
      </c>
      <c r="I140" s="48">
        <f>'National currencies'!I140</f>
        <v>2511.0749999999998</v>
      </c>
      <c r="J140" s="48">
        <f>'National currencies'!J140</f>
        <v>4386.3249999999998</v>
      </c>
      <c r="K140" s="61"/>
      <c r="L140" s="220"/>
      <c r="M140" s="62" t="str">
        <f>IF(ISBLANK(L140),"",IF(O2=0,0,M2))</f>
        <v/>
      </c>
      <c r="N140" s="49" t="str">
        <f>IF(ISBLANK(L140),"",IF(O2=0,0,N2))</f>
        <v/>
      </c>
      <c r="O140" s="63" t="str">
        <f>IF(ISBLANK(L140),"",O2)</f>
        <v/>
      </c>
      <c r="P140" s="69" t="str">
        <f>IF(ISBLANK(L140),"",IF(M140=0,0,IF(L140=1,H140+(M140-1)*H140,(H140+(L140-1)*G135)+(H140+(L140-1)*G135)*(M140-1))))</f>
        <v/>
      </c>
      <c r="Q140" s="70" t="str">
        <f>IF(ISBLANK(L140),"",IF(N140=0,0,IF(L140=1,I140+(N140-1)*I140,(I140+(L140-1)*G137)+(I140+(L140-1)*G137)*(N140-1))))</f>
        <v/>
      </c>
      <c r="R140" s="71" t="str">
        <f>IF(ISBLANK(L140),"",IF(O140=0,0,IF(L140=1,F140+(O140-1)*J140,(F140+(L140-1)*G140)+(J140+(L140-1)*G140)*(O140-1))))</f>
        <v/>
      </c>
      <c r="S140" s="64" t="str">
        <f>IF(ISBLANK(L140),"",IF(O140=0,"",IF((P140+Q140+R140)&gt;8736.33,8736.33,P140+Q140+R140)))</f>
        <v/>
      </c>
    </row>
    <row r="141" spans="1:19" x14ac:dyDescent="0.4">
      <c r="A141" s="45" t="s">
        <v>23</v>
      </c>
      <c r="B141" s="46" t="s">
        <v>110</v>
      </c>
      <c r="C141" s="46" t="s">
        <v>1</v>
      </c>
      <c r="D141" s="98" t="s">
        <v>527</v>
      </c>
      <c r="E141" s="67" t="str">
        <f>IF('National currencies'!E141="","",'National currencies'!E141)</f>
        <v>Group 1 - 1.5</v>
      </c>
      <c r="F141" s="66">
        <f>'National currencies'!F141</f>
        <v>4386.3249999999998</v>
      </c>
      <c r="G141" s="65">
        <f>'National currencies'!G141</f>
        <v>1315.8974999999998</v>
      </c>
      <c r="H141" s="66">
        <f>'National currencies'!H141</f>
        <v>0</v>
      </c>
      <c r="I141" s="48">
        <f>'National currencies'!I141</f>
        <v>2511.0749999999998</v>
      </c>
      <c r="J141" s="48">
        <f>'National currencies'!J141</f>
        <v>4386.3249999999998</v>
      </c>
      <c r="K141" s="122"/>
      <c r="L141" s="220"/>
      <c r="M141" s="62" t="str">
        <f>IF(ISBLANK(L141),"",IF(O2=0,0,M2))</f>
        <v/>
      </c>
      <c r="N141" s="49" t="str">
        <f>IF(ISBLANK(L141),"",IF(O2=0,0,N2))</f>
        <v/>
      </c>
      <c r="O141" s="63" t="str">
        <f>IF(ISBLANK(L141),"",O2)</f>
        <v/>
      </c>
      <c r="P141" s="69" t="str">
        <f>IF(ISBLANK(L141),"",IF(M141=0,0,IF(L141=1,H141+(M141-1)*H141,(H141+(L141-1)*G136)+(H141+(L141-1)*G136)*(M141-1))))</f>
        <v/>
      </c>
      <c r="Q141" s="70" t="str">
        <f>IF(ISBLANK(L141),"",IF(N141=0,0,IF(L141=1,I141+(N141-1)*I141,(I141+(L141-1)*G138)+(I141+(L141-1)*G138)*(N141-1))))</f>
        <v/>
      </c>
      <c r="R141" s="71" t="str">
        <f>IF(ISBLANK(L141),"",IF(O141=0,0,IF(L141=1,F141+(O141-1)*J141,(F141+(L141-1)*G141)+(J141+(L141-1)*G141)*(O141-1))))</f>
        <v/>
      </c>
      <c r="S141" s="64" t="str">
        <f>IF(ISBLANK(L141),"",IF(O141=0,"",IF((P141+Q141+R141)&gt;17043,17043,P141+Q141+R141)))</f>
        <v/>
      </c>
    </row>
    <row r="142" spans="1:19" x14ac:dyDescent="0.4">
      <c r="A142" s="45" t="s">
        <v>23</v>
      </c>
      <c r="B142" s="46" t="s">
        <v>110</v>
      </c>
      <c r="C142" s="46" t="s">
        <v>1</v>
      </c>
      <c r="D142" s="47" t="s">
        <v>9</v>
      </c>
      <c r="E142" s="67" t="str">
        <f>IF('National currencies'!E142="","",'National currencies'!E142)</f>
        <v>Group 1 - 1.7</v>
      </c>
      <c r="F142" s="66">
        <f>'National currencies'!F142</f>
        <v>413.86249999999995</v>
      </c>
      <c r="G142" s="65">
        <f>'National currencies'!G142</f>
        <v>124.15874999999998</v>
      </c>
      <c r="H142" s="66">
        <f>'National currencies'!H142</f>
        <v>413.86249999999995</v>
      </c>
      <c r="I142" s="48">
        <f>'National currencies'!I142</f>
        <v>413.86249999999995</v>
      </c>
      <c r="J142" s="48">
        <f>'National currencies'!J142</f>
        <v>413.86249999999995</v>
      </c>
      <c r="K142" s="61"/>
      <c r="L142" s="220"/>
      <c r="M142" s="62" t="str">
        <f>IF(ISBLANK(L142),"",IF(O2=0,0,M2))</f>
        <v/>
      </c>
      <c r="N142" s="49" t="str">
        <f>IF(ISBLANK(L142),"",IF(O2=0,0,N2))</f>
        <v/>
      </c>
      <c r="O142" s="63" t="str">
        <f>IF(ISBLANK(L142),"",O2)</f>
        <v/>
      </c>
      <c r="P142" s="69" t="str">
        <f>IF(ISBLANK(L142),"",IF(M142=0,0,IF(L142=1,H142+(M142-1)*H142,(H142+(L142-1)*G136)+(H142+(L142-1)*G136)*(M142-1))))</f>
        <v/>
      </c>
      <c r="Q142" s="70" t="str">
        <f>IF(ISBLANK(L142),"",IF(N142=0,0,IF(L142=1,I142+(N142-1)*I142,(I142+(L142-1)*G139)+(I142+(L142-1)*G139)*(N142-1))))</f>
        <v/>
      </c>
      <c r="R142" s="71" t="str">
        <f>IF(ISBLANK(L142),"",IF(O142=0,0,IF(L142=1,F142+(O142-1)*J142,(F142+(L142-1)*G142)+(J142+(L142-1)*G142)*(O142-1))))</f>
        <v/>
      </c>
      <c r="S142" s="64" t="str">
        <f>IF(ISBLANK(L142),"",IF(O142=0,"",IF((P142+Q142+R142)&gt;1131.59,1131.59,P142+Q142+R142)))</f>
        <v/>
      </c>
    </row>
    <row r="143" spans="1:19" x14ac:dyDescent="0.4">
      <c r="A143" s="45" t="s">
        <v>23</v>
      </c>
      <c r="B143" s="46" t="s">
        <v>108</v>
      </c>
      <c r="C143" s="46" t="s">
        <v>2</v>
      </c>
      <c r="D143" s="47" t="s">
        <v>528</v>
      </c>
      <c r="E143" s="67" t="str">
        <f>IF('National currencies'!E143="","",'National currencies'!E143)</f>
        <v/>
      </c>
      <c r="F143" s="66">
        <f>'National currencies'!F143</f>
        <v>0</v>
      </c>
      <c r="G143" s="65">
        <f>'National currencies'!G143</f>
        <v>0</v>
      </c>
      <c r="H143" s="66">
        <f>'National currencies'!H143</f>
        <v>0</v>
      </c>
      <c r="I143" s="48"/>
      <c r="J143" s="48"/>
      <c r="K143" s="61"/>
      <c r="L143" s="220"/>
      <c r="M143" s="62" t="str">
        <f>IF(ISBLANK(L143),"",IF((N2+O2)&gt;0,0,M2))</f>
        <v/>
      </c>
      <c r="N143" s="49"/>
      <c r="O143" s="63"/>
      <c r="P143" s="69" t="str">
        <f>IF(ISBLANK(L143),"",IF(M143=0,0,IF(L143=1,F143+(M143-1)*H143,(F143+(L143-1)*G143)+(H143+(L143-1)*G143)*(M143-1))))</f>
        <v/>
      </c>
      <c r="Q143" s="70"/>
      <c r="R143" s="71"/>
      <c r="S143" s="64" t="str">
        <f>IF(ISBLANK(L143),"",IF(M143=0,"",P143))</f>
        <v/>
      </c>
    </row>
    <row r="144" spans="1:19" x14ac:dyDescent="0.4">
      <c r="A144" s="45" t="s">
        <v>23</v>
      </c>
      <c r="B144" s="46" t="s">
        <v>108</v>
      </c>
      <c r="C144" s="46" t="s">
        <v>2</v>
      </c>
      <c r="D144" s="47" t="s">
        <v>36</v>
      </c>
      <c r="E144" s="67"/>
      <c r="F144" s="66">
        <f>'National currencies'!F144</f>
        <v>0</v>
      </c>
      <c r="G144" s="65">
        <f>'National currencies'!G144</f>
        <v>0</v>
      </c>
      <c r="H144" s="66">
        <f>'National currencies'!H144</f>
        <v>0</v>
      </c>
      <c r="I144" s="48"/>
      <c r="J144" s="48"/>
      <c r="K144" s="61"/>
      <c r="L144" s="220"/>
      <c r="M144" s="62" t="str">
        <f>IF(ISBLANK(L144),"",IF((N2+O2)&gt;0,0,M2))</f>
        <v/>
      </c>
      <c r="N144" s="49"/>
      <c r="O144" s="63"/>
      <c r="P144" s="69" t="str">
        <f>IF(ISBLANK(L144),"",IF(M144=0,0,IF(L144=1,F144+(M144-1)*H144,(F144+(L144-1)*G144)+(H144+(L144-1)*G144)*(M144-1))))</f>
        <v/>
      </c>
      <c r="Q144" s="70"/>
      <c r="R144" s="71"/>
      <c r="S144" s="64" t="str">
        <f>IF(ISBLANK(L144),"",IF(M144=0,"",P144))</f>
        <v/>
      </c>
    </row>
    <row r="145" spans="1:19" x14ac:dyDescent="0.4">
      <c r="A145" s="45" t="s">
        <v>23</v>
      </c>
      <c r="B145" s="46" t="s">
        <v>108</v>
      </c>
      <c r="C145" s="46" t="s">
        <v>2</v>
      </c>
      <c r="D145" s="47" t="s">
        <v>9</v>
      </c>
      <c r="E145" s="67" t="str">
        <f>IF('National currencies'!E145="","",'National currencies'!E145)</f>
        <v>Group 1 - 1.7</v>
      </c>
      <c r="F145" s="66">
        <f>'National currencies'!F145</f>
        <v>331.09</v>
      </c>
      <c r="G145" s="65">
        <f>'National currencies'!G145</f>
        <v>99.326999999999984</v>
      </c>
      <c r="H145" s="66">
        <f>'National currencies'!H145</f>
        <v>331.09</v>
      </c>
      <c r="I145" s="48"/>
      <c r="J145" s="48"/>
      <c r="K145" s="61"/>
      <c r="L145" s="220"/>
      <c r="M145" s="62" t="str">
        <f>IF(ISBLANK(L145),"",IF((N2+O2)&gt;0,0,M2))</f>
        <v/>
      </c>
      <c r="N145" s="49"/>
      <c r="O145" s="63"/>
      <c r="P145" s="69" t="str">
        <f>IF(ISBLANK(L145),"",IF(M145=0,0,IF(L145=1,F145+(M145-1)*H145,(F145+(L145-1)*G145)+(H145+(L145-1)*G145)*(M145-1))))</f>
        <v/>
      </c>
      <c r="Q145" s="70"/>
      <c r="R145" s="71"/>
      <c r="S145" s="64" t="str">
        <f>IF(ISBLANK(L145),"",IF(M145=0,"",P145))</f>
        <v/>
      </c>
    </row>
    <row r="146" spans="1:19" x14ac:dyDescent="0.4">
      <c r="A146" s="45" t="s">
        <v>23</v>
      </c>
      <c r="B146" s="46" t="s">
        <v>109</v>
      </c>
      <c r="C146" s="46" t="s">
        <v>2</v>
      </c>
      <c r="D146" s="47" t="s">
        <v>526</v>
      </c>
      <c r="E146" s="67" t="str">
        <f>IF('National currencies'!E146="","",'National currencies'!E146)</f>
        <v>Group 1 - 1.6</v>
      </c>
      <c r="F146" s="66">
        <f>'National currencies'!F146</f>
        <v>2008.86</v>
      </c>
      <c r="G146" s="65">
        <f>'National currencies'!G146</f>
        <v>602.6579999999999</v>
      </c>
      <c r="H146" s="66">
        <f>'National currencies'!H146</f>
        <v>0</v>
      </c>
      <c r="I146" s="48">
        <f>'National currencies'!I146</f>
        <v>2008.86</v>
      </c>
      <c r="J146" s="48"/>
      <c r="K146" s="61"/>
      <c r="L146" s="220"/>
      <c r="M146" s="62" t="str">
        <f>IF(ISBLANK(L146),"",IF(O2&gt;0,0,IF(N2=0,0,M2)))</f>
        <v/>
      </c>
      <c r="N146" s="49" t="str">
        <f>IF(ISBLANK(L146),"",IF(O2&gt;0,0,N2))</f>
        <v/>
      </c>
      <c r="O146" s="63"/>
      <c r="P146" s="69" t="str">
        <f>IF(ISBLANK(L146),"",IF(M146=0,0,IF(L146=1,H146+(M146-1)*H146,(H146+(L146-1)*G143)+(H146+(L146-1)*G143)*(M146-1))))</f>
        <v/>
      </c>
      <c r="Q146" s="70" t="str">
        <f>IF(ISBLANK(L146),"",IF(N146=0,0,IF(L146=1,F146+(N146-1)*I146,(F146+(L146-1)*G146)+(I146+(L146-1)*G146)*(N146-1))))</f>
        <v/>
      </c>
      <c r="R146" s="71"/>
      <c r="S146" s="64" t="str">
        <f>IF(ISBLANK(L146),"",IF(N146=0,"",IF((P146+Q146)&gt;17043,17043,P146+Q146)))</f>
        <v/>
      </c>
    </row>
    <row r="147" spans="1:19" x14ac:dyDescent="0.4">
      <c r="A147" s="45" t="s">
        <v>23</v>
      </c>
      <c r="B147" s="46" t="s">
        <v>109</v>
      </c>
      <c r="C147" s="46" t="s">
        <v>2</v>
      </c>
      <c r="D147" s="98" t="s">
        <v>527</v>
      </c>
      <c r="E147" s="67" t="str">
        <f>IF('National currencies'!E147="","",'National currencies'!E147)</f>
        <v>Group 1 - 1.6</v>
      </c>
      <c r="F147" s="66">
        <f>'National currencies'!F147</f>
        <v>2008.86</v>
      </c>
      <c r="G147" s="65">
        <f>'National currencies'!G147</f>
        <v>602.6579999999999</v>
      </c>
      <c r="H147" s="66">
        <f>'National currencies'!H147</f>
        <v>0</v>
      </c>
      <c r="I147" s="48">
        <f>'National currencies'!I147</f>
        <v>2008.86</v>
      </c>
      <c r="J147" s="48"/>
      <c r="K147" s="122"/>
      <c r="L147" s="220"/>
      <c r="M147" s="62" t="str">
        <f>IF(ISBLANK(L147),"",IF(O2&gt;0,0,IF(N2=0,0,M2)))</f>
        <v/>
      </c>
      <c r="N147" s="49" t="str">
        <f>IF(ISBLANK(L147),"",IF(O2&gt;0,0,N2))</f>
        <v/>
      </c>
      <c r="O147" s="63"/>
      <c r="P147" s="69" t="str">
        <f>IF(ISBLANK(L147),"",IF(M147=0,0,IF(L147=1,H147+(M147-1)*H147,(H147+(L147-1)*G144)+(H147+(L147-1)*G144)*(M147-1))))</f>
        <v/>
      </c>
      <c r="Q147" s="70" t="str">
        <f>IF(ISBLANK(L147),"",IF(N147=0,0,IF(L147=1,F147+(N147-1)*I147,(F147+(L147-1)*G147)+(I147+(L147-1)*G147)*(N147-1))))</f>
        <v/>
      </c>
      <c r="R147" s="71"/>
      <c r="S147" s="64" t="str">
        <f>IF(ISBLANK(L147),"",IF(N147=0,"",IF((P147+Q147)&gt;8736.33,8736.33,P147+Q147)))</f>
        <v/>
      </c>
    </row>
    <row r="148" spans="1:19" x14ac:dyDescent="0.4">
      <c r="A148" s="45" t="s">
        <v>23</v>
      </c>
      <c r="B148" s="46" t="s">
        <v>109</v>
      </c>
      <c r="C148" s="46" t="s">
        <v>2</v>
      </c>
      <c r="D148" s="47" t="s">
        <v>36</v>
      </c>
      <c r="E148" s="67" t="str">
        <f>IF('National currencies'!E148="","",'National currencies'!E148)</f>
        <v/>
      </c>
      <c r="F148" s="66">
        <f>'National currencies'!F148</f>
        <v>0</v>
      </c>
      <c r="G148" s="65">
        <f>'National currencies'!G148</f>
        <v>0</v>
      </c>
      <c r="H148" s="66">
        <f>'National currencies'!H148</f>
        <v>0</v>
      </c>
      <c r="I148" s="48">
        <f>'National currencies'!I148</f>
        <v>0</v>
      </c>
      <c r="J148" s="48"/>
      <c r="K148" s="61"/>
      <c r="L148" s="220"/>
      <c r="M148" s="62" t="str">
        <f>IF(ISBLANK(L148),"",IF(O2&gt;0,0,IF(N2=0,0,M2)))</f>
        <v/>
      </c>
      <c r="N148" s="49" t="str">
        <f>IF(ISBLANK(L148),"",IF(O2&gt;0,0,N2))</f>
        <v/>
      </c>
      <c r="O148" s="63"/>
      <c r="P148" s="123" t="str">
        <f>IF(ISBLANK(L148),"",IF(M148=0,0,IF(L148=1,F148+(M148-1)*H148,(F148+(L148-1)*G148)+(H148+(L148-1)*G148)*(M148-1))))</f>
        <v/>
      </c>
      <c r="Q148" s="124"/>
      <c r="R148" s="125"/>
      <c r="S148" s="126" t="str">
        <f>IF(ISBLANK(L148),"",F148+((L148-1)*G148))</f>
        <v/>
      </c>
    </row>
    <row r="149" spans="1:19" x14ac:dyDescent="0.4">
      <c r="A149" s="45" t="s">
        <v>23</v>
      </c>
      <c r="B149" s="46" t="s">
        <v>109</v>
      </c>
      <c r="C149" s="46" t="s">
        <v>2</v>
      </c>
      <c r="D149" s="47" t="s">
        <v>9</v>
      </c>
      <c r="E149" s="67" t="str">
        <f>IF('National currencies'!E149="","",'National currencies'!E149)</f>
        <v>Group 1 - 1.7</v>
      </c>
      <c r="F149" s="66">
        <f>'National currencies'!F149</f>
        <v>331.09</v>
      </c>
      <c r="G149" s="65">
        <f>'National currencies'!G149</f>
        <v>99.326999999999984</v>
      </c>
      <c r="H149" s="66">
        <f>'National currencies'!H149</f>
        <v>331.09</v>
      </c>
      <c r="I149" s="48">
        <f>'National currencies'!I149</f>
        <v>331.09</v>
      </c>
      <c r="J149" s="48"/>
      <c r="K149" s="61"/>
      <c r="L149" s="220"/>
      <c r="M149" s="62" t="str">
        <f>IF(ISBLANK(L149),"",IF(O2&gt;0,0,IF(N2=0,0,M2)))</f>
        <v/>
      </c>
      <c r="N149" s="49" t="str">
        <f>IF(ISBLANK(L149),"",IF(O2&gt;0,0,N2))</f>
        <v/>
      </c>
      <c r="O149" s="63"/>
      <c r="P149" s="69" t="str">
        <f>IF(ISBLANK(L149),"",IF(M149=0,0,IF(L149=1,H149+(M149-1)*H149,(H149+(L149-1)*G145)+(H149+(L149-1)*G145)*(M149-1))))</f>
        <v/>
      </c>
      <c r="Q149" s="70" t="str">
        <f>IF(ISBLANK(L149),"",IF(N149=0,0,IF(L149=1,F149+(N149-1)*I149,(F149+(L149-1)*G149)+(I149+(L149-1)*G149)*(N149-1))))</f>
        <v/>
      </c>
      <c r="R149" s="71"/>
      <c r="S149" s="64" t="str">
        <f>IF(ISBLANK(L149),"",IF(N149=0,"",IF((P149+Q149)&gt;1131.59,1131.59,P149+Q149)))</f>
        <v/>
      </c>
    </row>
    <row r="150" spans="1:19" x14ac:dyDescent="0.4">
      <c r="A150" s="45" t="s">
        <v>23</v>
      </c>
      <c r="B150" s="46" t="s">
        <v>110</v>
      </c>
      <c r="C150" s="46" t="s">
        <v>2</v>
      </c>
      <c r="D150" s="47" t="s">
        <v>526</v>
      </c>
      <c r="E150" s="67" t="str">
        <f>IF('National currencies'!E150="","",'National currencies'!E150)</f>
        <v>Group 1 - 1.5</v>
      </c>
      <c r="F150" s="66">
        <f>'National currencies'!F150</f>
        <v>3509.06</v>
      </c>
      <c r="G150" s="65">
        <f>'National currencies'!G150</f>
        <v>1052.7179999999998</v>
      </c>
      <c r="H150" s="66">
        <f>'National currencies'!H150</f>
        <v>0</v>
      </c>
      <c r="I150" s="48">
        <f>'National currencies'!I150</f>
        <v>2008.86</v>
      </c>
      <c r="J150" s="48">
        <f>'National currencies'!J150</f>
        <v>3509.06</v>
      </c>
      <c r="K150" s="61"/>
      <c r="L150" s="220"/>
      <c r="M150" s="62" t="str">
        <f>IF(ISBLANK(L150),"",IF(O2=0,0,M2))</f>
        <v/>
      </c>
      <c r="N150" s="49" t="str">
        <f>IF(ISBLANK(L150),"",IF(O2=0,0,N2))</f>
        <v/>
      </c>
      <c r="O150" s="63" t="str">
        <f>IF(ISBLANK(L150),"",O2)</f>
        <v/>
      </c>
      <c r="P150" s="69" t="str">
        <f>IF(ISBLANK(L150),"",IF(M150=0,0,IF(L150=1,H150+(M150-1)*H150,(H150+(L150-1)*G143)+(H150+(L150-1)*G143)*(M150-1))))</f>
        <v/>
      </c>
      <c r="Q150" s="70" t="str">
        <f>IF(ISBLANK(L150),"",IF(N150=0,0,IF(L150=1,I150+(N150-1)*I150,(I150+(L150-1)*G146)+(I150+(L150-1)*G146)*(N150-1))))</f>
        <v/>
      </c>
      <c r="R150" s="71" t="str">
        <f>IF(ISBLANK(L150),"",IF(O150=0,0,IF(L150=1,F150+(O150-1)*J150,(F150+(L150-1)*G150)+(J150+(L150-1)*G150)*(O150-1))))</f>
        <v/>
      </c>
      <c r="S150" s="64" t="str">
        <f>IF(ISBLANK(L150),"",IF(O150=0,"",IF((P150+Q150+R150)&gt;17043,17043,P150+Q150+R150)))</f>
        <v/>
      </c>
    </row>
    <row r="151" spans="1:19" x14ac:dyDescent="0.4">
      <c r="A151" s="45" t="s">
        <v>23</v>
      </c>
      <c r="B151" s="46" t="s">
        <v>110</v>
      </c>
      <c r="C151" s="46" t="s">
        <v>2</v>
      </c>
      <c r="D151" s="98" t="s">
        <v>527</v>
      </c>
      <c r="E151" s="67" t="str">
        <f>IF('National currencies'!E151="","",'National currencies'!E151)</f>
        <v>Group 1 - 1.5</v>
      </c>
      <c r="F151" s="66">
        <f>'National currencies'!F151</f>
        <v>3509.06</v>
      </c>
      <c r="G151" s="65">
        <f>'National currencies'!G151</f>
        <v>1052.7179999999998</v>
      </c>
      <c r="H151" s="66">
        <f>'National currencies'!H151</f>
        <v>0</v>
      </c>
      <c r="I151" s="48">
        <f>'National currencies'!I151</f>
        <v>2008.86</v>
      </c>
      <c r="J151" s="48">
        <f>'National currencies'!J151</f>
        <v>3509.06</v>
      </c>
      <c r="K151" s="122"/>
      <c r="L151" s="220"/>
      <c r="M151" s="62" t="str">
        <f>IF(ISBLANK(L151),"",IF(O2=0,0,M2))</f>
        <v/>
      </c>
      <c r="N151" s="49" t="str">
        <f>IF(ISBLANK(L151),"",IF(O2=0,0,N2))</f>
        <v/>
      </c>
      <c r="O151" s="63" t="str">
        <f>IF(ISBLANK(L151),"",O2)</f>
        <v/>
      </c>
      <c r="P151" s="69" t="str">
        <f>IF(ISBLANK(L151),"",IF(M151=0,0,IF(L151=1,H151+(M151-1)*H151,(H151+(L151-1)*G144)+(H151+(L151-1)*G144)*(M151-1))))</f>
        <v/>
      </c>
      <c r="Q151" s="70" t="str">
        <f>IF(ISBLANK(L151),"",IF(N151=0,0,IF(L151=1,I151+(N151-1)*I151,(I151+(L151-1)*G147)+(I151+(L151-1)*G147)*(N151-1))))</f>
        <v/>
      </c>
      <c r="R151" s="71" t="str">
        <f>IF(ISBLANK(L151),"",IF(O151=0,0,IF(L151=1,F151+(O151-1)*J151,(F151+(L151-1)*G151)+(J151+(L151-1)*G151)*(O151-1))))</f>
        <v/>
      </c>
      <c r="S151" s="64" t="str">
        <f>IF(ISBLANK(L151),"",IF(O151=0,"",IF((P151+Q151+R151)&gt;8736.33,8736.33,P151+Q151+R151)))</f>
        <v/>
      </c>
    </row>
    <row r="152" spans="1:19" x14ac:dyDescent="0.4">
      <c r="A152" s="45" t="s">
        <v>23</v>
      </c>
      <c r="B152" s="46" t="s">
        <v>110</v>
      </c>
      <c r="C152" s="46" t="s">
        <v>2</v>
      </c>
      <c r="D152" s="47" t="s">
        <v>9</v>
      </c>
      <c r="E152" s="67" t="str">
        <f>IF('National currencies'!E152="","",'National currencies'!E152)</f>
        <v>Group 1 - 1.7</v>
      </c>
      <c r="F152" s="66">
        <f>'National currencies'!F152</f>
        <v>331.09</v>
      </c>
      <c r="G152" s="65">
        <f>'National currencies'!G152</f>
        <v>99.326999999999984</v>
      </c>
      <c r="H152" s="66">
        <f>'National currencies'!H152</f>
        <v>331.09</v>
      </c>
      <c r="I152" s="48">
        <f>'National currencies'!I152</f>
        <v>331.09</v>
      </c>
      <c r="J152" s="48">
        <f>'National currencies'!J152</f>
        <v>331.09</v>
      </c>
      <c r="K152" s="61"/>
      <c r="L152" s="220"/>
      <c r="M152" s="62" t="str">
        <f>IF(ISBLANK(L152),"",IF(O2=0,0,M2))</f>
        <v/>
      </c>
      <c r="N152" s="49" t="str">
        <f>IF(ISBLANK(L152),"",IF(O2=0,0,N2))</f>
        <v/>
      </c>
      <c r="O152" s="63" t="str">
        <f>IF(ISBLANK(L152),"",O2)</f>
        <v/>
      </c>
      <c r="P152" s="69" t="str">
        <f>IF(ISBLANK(L152),"",IF(M152=0,0,IF(L152=1,H152+(M152-1)*H152,(H152+(L152-1)*G145)+(H152+(L152-1)*G145)*(M152-1))))</f>
        <v/>
      </c>
      <c r="Q152" s="70" t="str">
        <f>IF(ISBLANK(L152),"",IF(N152=0,0,IF(L152=1,I152+(N152-1)*I152,(I152+(L152-1)*G149)+(I152+(L152-1)*G149)*(N152-1))))</f>
        <v/>
      </c>
      <c r="R152" s="71" t="str">
        <f>IF(ISBLANK(L152),"",IF(O152=0,0,IF(L152=1,F152+(O152-1)*J152,(F152+(L152-1)*G152)+(J152+(L152-1)*G152)*(O152-1))))</f>
        <v/>
      </c>
      <c r="S152" s="64" t="str">
        <f>IF(ISBLANK(L152),"",IF(O152=0,"",IF((P152+Q152+R152)&gt;1131.59,1131.59,P152+Q152+R152)))</f>
        <v/>
      </c>
    </row>
    <row r="153" spans="1:19" x14ac:dyDescent="0.4">
      <c r="A153" s="45" t="s">
        <v>23</v>
      </c>
      <c r="B153" s="46" t="s">
        <v>108</v>
      </c>
      <c r="C153" s="46" t="s">
        <v>0</v>
      </c>
      <c r="D153" s="47" t="s">
        <v>528</v>
      </c>
      <c r="E153" s="67" t="str">
        <f>IF('National currencies'!E153="","",'National currencies'!E153)</f>
        <v/>
      </c>
      <c r="F153" s="66">
        <f>'National currencies'!F153</f>
        <v>0</v>
      </c>
      <c r="G153" s="65">
        <f>'National currencies'!G153</f>
        <v>0</v>
      </c>
      <c r="H153" s="66">
        <f>'National currencies'!H153</f>
        <v>0</v>
      </c>
      <c r="I153" s="48"/>
      <c r="J153" s="48"/>
      <c r="K153" s="61"/>
      <c r="L153" s="220"/>
      <c r="M153" s="62" t="str">
        <f>IF(ISBLANK(L153),"",IF((N2+O2)&gt;0,0,M2))</f>
        <v/>
      </c>
      <c r="N153" s="49"/>
      <c r="O153" s="63"/>
      <c r="P153" s="69" t="str">
        <f>IF(ISBLANK(L153),"",IF(M153=0,0,IF(L153=1,F153+(M153-1)*H153,(F153+(L153-1)*G153)+(H153+(L153-1)*G153)*(M153-1))))</f>
        <v/>
      </c>
      <c r="Q153" s="70"/>
      <c r="R153" s="71"/>
      <c r="S153" s="64" t="str">
        <f>IF(ISBLANK(L153),"",IF(M153=0,"",P153))</f>
        <v/>
      </c>
    </row>
    <row r="154" spans="1:19" x14ac:dyDescent="0.4">
      <c r="A154" s="45" t="s">
        <v>23</v>
      </c>
      <c r="B154" s="46" t="s">
        <v>108</v>
      </c>
      <c r="C154" s="46" t="s">
        <v>0</v>
      </c>
      <c r="D154" s="47" t="s">
        <v>9</v>
      </c>
      <c r="E154" s="67" t="str">
        <f>IF('National currencies'!E154="","",'National currencies'!E154)</f>
        <v>Group 1 - 1.7</v>
      </c>
      <c r="F154" s="66">
        <f>'National currencies'!F154</f>
        <v>331.09</v>
      </c>
      <c r="G154" s="65">
        <f>'National currencies'!G154</f>
        <v>99.326999999999984</v>
      </c>
      <c r="H154" s="66">
        <f>'National currencies'!H154</f>
        <v>331.09</v>
      </c>
      <c r="I154" s="48"/>
      <c r="J154" s="48"/>
      <c r="K154" s="61"/>
      <c r="L154" s="220"/>
      <c r="M154" s="62" t="str">
        <f>IF(ISBLANK(L154),"",IF((N2+O2)&gt;0,0,M2))</f>
        <v/>
      </c>
      <c r="N154" s="49"/>
      <c r="O154" s="63"/>
      <c r="P154" s="69" t="str">
        <f>IF(ISBLANK(L154),"",IF(M154=0,0,IF(L154=1,F154+(M154-1)*H154,(F154+(L154-1)*G154)+(H154+(L154-1)*G154)*(M154-1))))</f>
        <v/>
      </c>
      <c r="Q154" s="70"/>
      <c r="R154" s="71"/>
      <c r="S154" s="64" t="str">
        <f>IF(ISBLANK(L154),"",IF(M154=0,"",P154))</f>
        <v/>
      </c>
    </row>
    <row r="155" spans="1:19" x14ac:dyDescent="0.4">
      <c r="A155" s="45" t="s">
        <v>23</v>
      </c>
      <c r="B155" s="46" t="s">
        <v>109</v>
      </c>
      <c r="C155" s="46" t="s">
        <v>0</v>
      </c>
      <c r="D155" s="47" t="s">
        <v>526</v>
      </c>
      <c r="E155" s="67" t="str">
        <f>IF('National currencies'!E155="","",'National currencies'!E155)</f>
        <v>Group 1 - 1.6</v>
      </c>
      <c r="F155" s="66">
        <f>'National currencies'!F155</f>
        <v>2008.86</v>
      </c>
      <c r="G155" s="65">
        <f>'National currencies'!G155</f>
        <v>602.6579999999999</v>
      </c>
      <c r="H155" s="66">
        <f>'National currencies'!H155</f>
        <v>0</v>
      </c>
      <c r="I155" s="48">
        <f>'National currencies'!I155</f>
        <v>2008.86</v>
      </c>
      <c r="J155" s="48"/>
      <c r="K155" s="61"/>
      <c r="L155" s="220"/>
      <c r="M155" s="62" t="str">
        <f>IF(ISBLANK(L155),"",IF(O2&gt;0,0,IF(N2=0,0,M2)))</f>
        <v/>
      </c>
      <c r="N155" s="49" t="str">
        <f>IF(ISBLANK(L155),"",IF(O2&gt;0,0,N2))</f>
        <v/>
      </c>
      <c r="O155" s="63"/>
      <c r="P155" s="69" t="str">
        <f>IF(ISBLANK(L155),"",IF(M155=0,0,IF(L155=1,H155+(M155-1)*H155,(H155+(L155-1)*G153)+(H155+(L155-1)*G153)*(M155-1))))</f>
        <v/>
      </c>
      <c r="Q155" s="70" t="str">
        <f>IF(ISBLANK(L155),"",IF(N155=0,0,IF(L155=1,F155+(N155-1)*I155,(F155+(L155-1)*G155)+(I155+(L155-1)*G155)*(N155-1))))</f>
        <v/>
      </c>
      <c r="R155" s="71"/>
      <c r="S155" s="64" t="str">
        <f>IF(ISBLANK(L155),"",IF(N155=0,"",IF((P155+Q155)&gt;17043,17043,P155+Q155)))</f>
        <v/>
      </c>
    </row>
    <row r="156" spans="1:19" x14ac:dyDescent="0.4">
      <c r="A156" s="45" t="s">
        <v>23</v>
      </c>
      <c r="B156" s="46" t="s">
        <v>109</v>
      </c>
      <c r="C156" s="46" t="s">
        <v>0</v>
      </c>
      <c r="D156" s="98" t="s">
        <v>527</v>
      </c>
      <c r="E156" s="67" t="str">
        <f>IF('National currencies'!E156="","",'National currencies'!E156)</f>
        <v>Group 1 - 1.6</v>
      </c>
      <c r="F156" s="66">
        <f>'National currencies'!F156</f>
        <v>2008.86</v>
      </c>
      <c r="G156" s="65">
        <f>'National currencies'!G156</f>
        <v>602.6579999999999</v>
      </c>
      <c r="H156" s="66">
        <f>'National currencies'!H156</f>
        <v>0</v>
      </c>
      <c r="I156" s="48">
        <f>'National currencies'!I156</f>
        <v>2008.86</v>
      </c>
      <c r="J156" s="48"/>
      <c r="K156" s="122"/>
      <c r="L156" s="220"/>
      <c r="M156" s="62" t="str">
        <f>IF(ISBLANK(L156),"",IF(O2&gt;0,0,IF(N2=0,0,M2)))</f>
        <v/>
      </c>
      <c r="N156" s="49" t="str">
        <f>IF(ISBLANK(L156),"",IF(O2&gt;0,0,N2))</f>
        <v/>
      </c>
      <c r="O156" s="63"/>
      <c r="P156" s="69" t="str">
        <f>IF(ISBLANK(L156),"",IF(M156=0,0,IF(L156=1,H156+(M156-1)*H156,(H156+(L156-1)*G154)+(H156+(L156-1)*G154)*(M156-1))))</f>
        <v/>
      </c>
      <c r="Q156" s="70" t="str">
        <f>IF(ISBLANK(L156),"",IF(N156=0,0,IF(L156=1,F156+(N156-1)*I156,(F156+(L156-1)*G156)+(I156+(L156-1)*G156)*(N156-1))))</f>
        <v/>
      </c>
      <c r="R156" s="71"/>
      <c r="S156" s="64" t="str">
        <f>IF(ISBLANK(L156),"",IF(N156=0,"",IF((P156+Q156)&gt;8736.33,8736.33,P156+Q156)))</f>
        <v/>
      </c>
    </row>
    <row r="157" spans="1:19" x14ac:dyDescent="0.4">
      <c r="A157" s="45" t="s">
        <v>23</v>
      </c>
      <c r="B157" s="46" t="s">
        <v>109</v>
      </c>
      <c r="C157" s="46" t="s">
        <v>0</v>
      </c>
      <c r="D157" s="47" t="s">
        <v>9</v>
      </c>
      <c r="E157" s="67" t="str">
        <f>IF('National currencies'!E157="","",'National currencies'!E157)</f>
        <v>Group 1 - 1.7</v>
      </c>
      <c r="F157" s="66">
        <f>'National currencies'!F157</f>
        <v>331.09</v>
      </c>
      <c r="G157" s="65">
        <f>'National currencies'!G157</f>
        <v>99.326999999999984</v>
      </c>
      <c r="H157" s="66">
        <f>'National currencies'!H157</f>
        <v>331.09</v>
      </c>
      <c r="I157" s="48">
        <f>'National currencies'!I157</f>
        <v>331.09</v>
      </c>
      <c r="J157" s="48"/>
      <c r="K157" s="61"/>
      <c r="L157" s="220"/>
      <c r="M157" s="49"/>
      <c r="N157" s="49"/>
      <c r="O157" s="63"/>
      <c r="P157" s="123" t="str">
        <f>IF(ISBLANK(L157),"",IF(M157=0,0,IF(L157=1,F157+(M157-1)*H157,(F157+(L157-1)*G157)+(H157+(L157-1)*G157)*(M157-1))))</f>
        <v/>
      </c>
      <c r="Q157" s="124"/>
      <c r="R157" s="125"/>
      <c r="S157" s="126" t="str">
        <f>IF(ISBLANK(L157),"",F157+((L157-1)*G157))</f>
        <v/>
      </c>
    </row>
    <row r="158" spans="1:19" x14ac:dyDescent="0.4">
      <c r="A158" s="45" t="s">
        <v>23</v>
      </c>
      <c r="B158" s="46" t="s">
        <v>110</v>
      </c>
      <c r="C158" s="46" t="s">
        <v>0</v>
      </c>
      <c r="D158" s="47" t="s">
        <v>526</v>
      </c>
      <c r="E158" s="67" t="str">
        <f>IF('National currencies'!E158="","",'National currencies'!E158)</f>
        <v>Group 1 - 1.5</v>
      </c>
      <c r="F158" s="66">
        <f>'National currencies'!F158</f>
        <v>3509.06</v>
      </c>
      <c r="G158" s="65">
        <f>'National currencies'!G158</f>
        <v>1052.7179999999998</v>
      </c>
      <c r="H158" s="66">
        <f>'National currencies'!H158</f>
        <v>0</v>
      </c>
      <c r="I158" s="48">
        <f>'National currencies'!I158</f>
        <v>2008.86</v>
      </c>
      <c r="J158" s="48">
        <f>'National currencies'!J158</f>
        <v>3509.06</v>
      </c>
      <c r="K158" s="61"/>
      <c r="L158" s="220"/>
      <c r="M158" s="62" t="str">
        <f>IF(ISBLANK(L158),"",IF(O2=0,0,M2))</f>
        <v/>
      </c>
      <c r="N158" s="49" t="str">
        <f>IF(ISBLANK(L158),"",IF(O2=0,0,N2))</f>
        <v/>
      </c>
      <c r="O158" s="63" t="str">
        <f>IF(ISBLANK(L158),"",O2)</f>
        <v/>
      </c>
      <c r="P158" s="69" t="str">
        <f>IF(ISBLANK(L158),"",IF(M158=0,0,IF(L158=1,H158+(M158-1)*H158,(H158+(L158-1)*G153)+(H158+(L158-1)*G153)*(M158-1))))</f>
        <v/>
      </c>
      <c r="Q158" s="70" t="str">
        <f>IF(ISBLANK(L158),"",IF(N158=0,0,IF(L158=1,I158+(N158-1)*I158,(I158+(L158-1)*G155)+(I158+(L158-1)*G155)*(N158-1))))</f>
        <v/>
      </c>
      <c r="R158" s="71" t="str">
        <f>IF(ISBLANK(L158),"",IF(O158=0,0,IF(L158=1,F158+(O158-1)*J158,(F158+(L158-1)*G158)+(J158+(L158-1)*G158)*(O158-1))))</f>
        <v/>
      </c>
      <c r="S158" s="64" t="str">
        <f>IF(ISBLANK(L158),"",IF(O158=0,"",IF((P158+Q158+R158)&gt;17043,17043,P158+Q158+R158)))</f>
        <v/>
      </c>
    </row>
    <row r="159" spans="1:19" x14ac:dyDescent="0.4">
      <c r="A159" s="45" t="s">
        <v>23</v>
      </c>
      <c r="B159" s="46" t="s">
        <v>110</v>
      </c>
      <c r="C159" s="46" t="s">
        <v>0</v>
      </c>
      <c r="D159" s="98" t="s">
        <v>527</v>
      </c>
      <c r="E159" s="67" t="str">
        <f>IF('National currencies'!E159="","",'National currencies'!E159)</f>
        <v>Group 1 - 1.5</v>
      </c>
      <c r="F159" s="66">
        <f>'National currencies'!F159</f>
        <v>3509.06</v>
      </c>
      <c r="G159" s="65">
        <f>'National currencies'!G159</f>
        <v>1052.7179999999998</v>
      </c>
      <c r="H159" s="66">
        <f>'National currencies'!H159</f>
        <v>0</v>
      </c>
      <c r="I159" s="48">
        <f>'National currencies'!I159</f>
        <v>2008.86</v>
      </c>
      <c r="J159" s="48">
        <f>'National currencies'!J159</f>
        <v>3509.06</v>
      </c>
      <c r="K159" s="122"/>
      <c r="L159" s="220"/>
      <c r="M159" s="62" t="str">
        <f>IF(ISBLANK(L159),"",IF(O2=0,0,M2))</f>
        <v/>
      </c>
      <c r="N159" s="49" t="str">
        <f>IF(ISBLANK(L159),"",IF(O2=0,0,N2))</f>
        <v/>
      </c>
      <c r="O159" s="63" t="str">
        <f>IF(ISBLANK(L159),"",O2)</f>
        <v/>
      </c>
      <c r="P159" s="69" t="str">
        <f>IF(ISBLANK(L159),"",IF(M159=0,0,IF(L159=1,H159+(M159-1)*H159,(H159+(L159-1)*G154)+(H159+(L159-1)*G154)*(M159-1))))</f>
        <v/>
      </c>
      <c r="Q159" s="70" t="str">
        <f>IF(ISBLANK(L159),"",IF(N159=0,0,IF(L159=1,I159+(N159-1)*I159,(I159+(L159-1)*G156)+(I159+(L159-1)*G156)*(N159-1))))</f>
        <v/>
      </c>
      <c r="R159" s="71" t="str">
        <f>IF(ISBLANK(L159),"",IF(O159=0,0,IF(L159=1,F159+(O159-1)*J159,(F159+(L159-1)*G159)+(J159+(L159-1)*G159)*(O159-1))))</f>
        <v/>
      </c>
      <c r="S159" s="64" t="str">
        <f>IF(ISBLANK(L159),"",IF(O159=0,"",IF((P159+Q159+R159)&gt;8736.33,8736.33,P159+Q159+R159)))</f>
        <v/>
      </c>
    </row>
    <row r="160" spans="1:19" x14ac:dyDescent="0.4">
      <c r="A160" s="45" t="s">
        <v>23</v>
      </c>
      <c r="B160" s="46" t="s">
        <v>110</v>
      </c>
      <c r="C160" s="46" t="s">
        <v>0</v>
      </c>
      <c r="D160" s="47" t="s">
        <v>9</v>
      </c>
      <c r="E160" s="67" t="str">
        <f>IF('National currencies'!E160="","",'National currencies'!E160)</f>
        <v>Group 1 - 1.7</v>
      </c>
      <c r="F160" s="66">
        <f>'National currencies'!F160</f>
        <v>331.09</v>
      </c>
      <c r="G160" s="65">
        <f>'National currencies'!G160</f>
        <v>99.326999999999984</v>
      </c>
      <c r="H160" s="66">
        <f>'National currencies'!H160</f>
        <v>331.09</v>
      </c>
      <c r="I160" s="48">
        <f>'National currencies'!I160</f>
        <v>331.09</v>
      </c>
      <c r="J160" s="48">
        <f>'National currencies'!J160</f>
        <v>331.09</v>
      </c>
      <c r="K160" s="61"/>
      <c r="L160" s="220"/>
      <c r="M160" s="62" t="str">
        <f>IF(ISBLANK(L160),"",IF(O2=0,0,M2))</f>
        <v/>
      </c>
      <c r="N160" s="49" t="str">
        <f>IF(ISBLANK(L160),"",IF(O2=0,0,N2))</f>
        <v/>
      </c>
      <c r="O160" s="63" t="str">
        <f>IF(ISBLANK(L160),"",O2)</f>
        <v/>
      </c>
      <c r="P160" s="69" t="str">
        <f>IF(ISBLANK(L160),"",IF(M160=0,0,IF(L160=1,H160+(M160-1)*H160,(H160+(L160-1)*G154)+(H160+(L160-1)*G154)*(M160-1))))</f>
        <v/>
      </c>
      <c r="Q160" s="70" t="str">
        <f>IF(ISBLANK(L160),"",IF(N160=0,0,IF(L160=1,I160+(N160-1)*I160,(I160+(L160-1)*G157)+(I160+(L160-1)*G157)*(N160-1))))</f>
        <v/>
      </c>
      <c r="R160" s="71" t="str">
        <f>IF(ISBLANK(L160),"",IF(O160=0,0,IF(L160=1,F160+(O160-1)*J160,(F160+(L160-1)*G160)+(J160+(L160-1)*G160)*(O160-1))))</f>
        <v/>
      </c>
      <c r="S160" s="64" t="str">
        <f>IF(ISBLANK(L160),"",IF(O160=0,"",IF((P160+Q160+R160)&gt;1131.59,1131.59,P160+Q160+R160)))</f>
        <v/>
      </c>
    </row>
    <row r="161" spans="1:19" x14ac:dyDescent="0.4">
      <c r="A161" s="45" t="s">
        <v>16</v>
      </c>
      <c r="B161" s="46" t="s">
        <v>108</v>
      </c>
      <c r="C161" s="46" t="s">
        <v>1</v>
      </c>
      <c r="D161" s="47"/>
      <c r="E161" s="67" t="str">
        <f>IF('National currencies'!E161="","",'National currencies'!E161)</f>
        <v/>
      </c>
      <c r="F161" s="66">
        <f>'National currencies'!F161</f>
        <v>640</v>
      </c>
      <c r="G161" s="65">
        <f>'National currencies'!G161</f>
        <v>0</v>
      </c>
      <c r="H161" s="66">
        <f>'National currencies'!H161</f>
        <v>640</v>
      </c>
      <c r="I161" s="48"/>
      <c r="J161" s="48"/>
      <c r="K161" s="61"/>
      <c r="L161" s="220"/>
      <c r="M161" s="62" t="str">
        <f>IF(ISBLANK(L161),"",IF((N2+O2)&gt;0,0,M2))</f>
        <v/>
      </c>
      <c r="N161" s="49"/>
      <c r="O161" s="63"/>
      <c r="P161" s="69" t="str">
        <f>IF(ISBLANK(L161),"",IF(M161=0,0,IF(L161=1,F161+(M161-1)*H161,(F161+(L161-1)*G161)+(H161+(L161-1)*G161)*(M161-1))))</f>
        <v/>
      </c>
      <c r="Q161" s="70"/>
      <c r="R161" s="71"/>
      <c r="S161" s="64" t="str">
        <f>IF(ISBLANK(L161),"",IF(M161=0,"",P161))</f>
        <v/>
      </c>
    </row>
    <row r="162" spans="1:19" x14ac:dyDescent="0.4">
      <c r="A162" s="45" t="s">
        <v>16</v>
      </c>
      <c r="B162" s="46" t="s">
        <v>109</v>
      </c>
      <c r="C162" s="46" t="s">
        <v>1</v>
      </c>
      <c r="D162" s="47"/>
      <c r="E162" s="67" t="str">
        <f>IF('National currencies'!E162="","",'National currencies'!E162)</f>
        <v>Annex 1.2.3/1.2.1</v>
      </c>
      <c r="F162" s="66">
        <f>'National currencies'!F162</f>
        <v>1495</v>
      </c>
      <c r="G162" s="65">
        <f>'National currencies'!G162</f>
        <v>0</v>
      </c>
      <c r="H162" s="66">
        <f>'National currencies'!H162</f>
        <v>640</v>
      </c>
      <c r="I162" s="48">
        <f>'National currencies'!I162</f>
        <v>1495</v>
      </c>
      <c r="J162" s="48"/>
      <c r="K162" s="61"/>
      <c r="L162" s="220"/>
      <c r="M162" s="62" t="str">
        <f>IF(ISBLANK(L162),"",IF(O2&gt;0,0,IF(N2=0,0,M2)))</f>
        <v/>
      </c>
      <c r="N162" s="49" t="str">
        <f>IF(ISBLANK(L162),"",IF(O2&gt;0,0,N2))</f>
        <v/>
      </c>
      <c r="O162" s="63"/>
      <c r="P162" s="69" t="str">
        <f>IF(ISBLANK(L162),"",IF(M162=0,0,IF(L162=1,H162+(M162-1)*H162,(H162+(L162-1)*G161)+(H162+(L162-1)*G161)*(M162-1))))</f>
        <v/>
      </c>
      <c r="Q162" s="70" t="str">
        <f>IF(ISBLANK(L162),"",IF(N162=0,0,IF(L162=1,F162+(N162-1)*I162,(F162+(L162-1)*G162)+(I162+(L162-1)*G162)*(N162-1))))</f>
        <v/>
      </c>
      <c r="R162" s="71"/>
      <c r="S162" s="64" t="str">
        <f>IF(ISBLANK(L162),"",IF(N162=0,"",P162+Q162))</f>
        <v/>
      </c>
    </row>
    <row r="163" spans="1:19" x14ac:dyDescent="0.4">
      <c r="A163" s="45" t="s">
        <v>16</v>
      </c>
      <c r="B163" s="46" t="s">
        <v>109</v>
      </c>
      <c r="C163" s="46" t="s">
        <v>1</v>
      </c>
      <c r="D163" s="47" t="s">
        <v>193</v>
      </c>
      <c r="E163" s="67" t="str">
        <f>IF('National currencies'!E163="","",'National currencies'!E163)</f>
        <v/>
      </c>
      <c r="F163" s="66">
        <f>'National currencies'!F163</f>
        <v>1495</v>
      </c>
      <c r="G163" s="65">
        <f>'National currencies'!G163</f>
        <v>0</v>
      </c>
      <c r="H163" s="66">
        <f>'National currencies'!H163</f>
        <v>0</v>
      </c>
      <c r="I163" s="48">
        <f>'National currencies'!I163</f>
        <v>0</v>
      </c>
      <c r="J163" s="48"/>
      <c r="K163" s="61"/>
      <c r="L163" s="220"/>
      <c r="M163" s="62" t="str">
        <f>IF(ISBLANK(L163),"",IF(O2&gt;0,0,IF(N2=0,0,M2)))</f>
        <v/>
      </c>
      <c r="N163" s="49" t="str">
        <f>IF(ISBLANK(L163),"",IF(O2&gt;0,0,N2))</f>
        <v/>
      </c>
      <c r="O163" s="63"/>
      <c r="P163" s="69" t="str">
        <f>IF(ISBLANK(L163),"",IF(M163=0,0,IF(L163=1,H163+(M163-1)*H163,(H163+(L163-1)*G162)+(H163+(L163-1)*G162)*(M163-1))))</f>
        <v/>
      </c>
      <c r="Q163" s="70" t="str">
        <f>IF(ISBLANK(L163),"",IF(N163=0,0,IF(L163=1,F163+(N163-1)*I163,(F163+(L163-1)*G163)+(I163+(L163-1)*G163)*(N163-1))))</f>
        <v/>
      </c>
      <c r="R163" s="71"/>
      <c r="S163" s="64" t="str">
        <f>IF(ISBLANK(L163),"",IF(N163=0,"",P163+Q163))</f>
        <v/>
      </c>
    </row>
    <row r="164" spans="1:19" x14ac:dyDescent="0.4">
      <c r="A164" s="45" t="s">
        <v>16</v>
      </c>
      <c r="B164" s="46" t="s">
        <v>110</v>
      </c>
      <c r="C164" s="46" t="s">
        <v>1</v>
      </c>
      <c r="D164" s="47"/>
      <c r="E164" s="67" t="str">
        <f>IF('National currencies'!E164="","",'National currencies'!E164)</f>
        <v>Annex 1.2.3/1.2.1</v>
      </c>
      <c r="F164" s="66">
        <f>'National currencies'!F164</f>
        <v>3530</v>
      </c>
      <c r="G164" s="65">
        <f>'National currencies'!G164</f>
        <v>0</v>
      </c>
      <c r="H164" s="66">
        <f>'National currencies'!H164</f>
        <v>640</v>
      </c>
      <c r="I164" s="48">
        <f>'National currencies'!I164</f>
        <v>1495</v>
      </c>
      <c r="J164" s="48">
        <f>'National currencies'!J164</f>
        <v>3530</v>
      </c>
      <c r="K164" s="61"/>
      <c r="L164" s="220"/>
      <c r="M164" s="62" t="str">
        <f>IF(ISBLANK(L164),"",IF(O2=0,0,M2))</f>
        <v/>
      </c>
      <c r="N164" s="49" t="str">
        <f>IF(ISBLANK(L164),"",IF(O2=0,0,N2))</f>
        <v/>
      </c>
      <c r="O164" s="63" t="str">
        <f>IF(ISBLANK(L164),"",O2)</f>
        <v/>
      </c>
      <c r="P164" s="69" t="str">
        <f>IF(ISBLANK(L164),"",IF(M164=0,0,IF(L164=1,H164+(M164-1)*H164,(H164+(L164-1)*G161)+(H164+(L164-1)*G161)*(M164-1))))</f>
        <v/>
      </c>
      <c r="Q164" s="70" t="str">
        <f>IF(ISBLANK(L164),"",IF(N164=0,0,IF(L164=1,I164+(N164-1)*I164,(I164+(L164-1)*G162)+(I164+(L164-1)*G162)*(N164-1))))</f>
        <v/>
      </c>
      <c r="R164" s="71" t="str">
        <f>IF(ISBLANK(L164),"",IF(O164=0,0,IF(L164=1,F164+(O164-1)*J164,(F164+(L164-1)*G164)+(J164+(L164-1)*G164)*(O164-1))))</f>
        <v/>
      </c>
      <c r="S164" s="64" t="str">
        <f>IF(ISBLANK(L164),"",IF(O164=0,"",P164+Q164+R164))</f>
        <v/>
      </c>
    </row>
    <row r="165" spans="1:19" x14ac:dyDescent="0.4">
      <c r="A165" s="45" t="s">
        <v>16</v>
      </c>
      <c r="B165" s="46" t="s">
        <v>110</v>
      </c>
      <c r="C165" s="46" t="s">
        <v>1</v>
      </c>
      <c r="D165" s="47" t="s">
        <v>194</v>
      </c>
      <c r="E165" s="67" t="str">
        <f>IF('National currencies'!E165="","",'National currencies'!E165)</f>
        <v>Annex 1.2.3/1.2.1</v>
      </c>
      <c r="F165" s="66">
        <f>'National currencies'!F165</f>
        <v>6750</v>
      </c>
      <c r="G165" s="65">
        <f>'National currencies'!G165</f>
        <v>0</v>
      </c>
      <c r="H165" s="66">
        <f>'National currencies'!H165</f>
        <v>640</v>
      </c>
      <c r="I165" s="48">
        <f>'National currencies'!I165</f>
        <v>1495</v>
      </c>
      <c r="J165" s="48">
        <f>'National currencies'!J165</f>
        <v>6750</v>
      </c>
      <c r="K165" s="61"/>
      <c r="L165" s="220"/>
      <c r="M165" s="62" t="str">
        <f>IF(ISBLANK(L165),"",IF(O2=0,0,M2))</f>
        <v/>
      </c>
      <c r="N165" s="49" t="str">
        <f>IF(ISBLANK(L165),"",IF(O2=0,0,N2))</f>
        <v/>
      </c>
      <c r="O165" s="63" t="str">
        <f>IF(ISBLANK(L165),"",O2)</f>
        <v/>
      </c>
      <c r="P165" s="69" t="str">
        <f>IF(ISBLANK(L165),"",IF(M165=0,0,IF(L165=1,H165+(M165-1)*H165,(H165+(L165-1)*G161)+(H165+(L165-1)*G161)*(M165-1))))</f>
        <v/>
      </c>
      <c r="Q165" s="70" t="str">
        <f>IF(ISBLANK(L165),"",IF(N165=0,0,IF(L165=1,I165+(N165-1)*I165,(I165+(L165-1)*G162)+(I165+(L165-1)*G162)*(N165-1))))</f>
        <v/>
      </c>
      <c r="R165" s="71" t="str">
        <f>IF(ISBLANK(L165),"",IF(O165=0,0,IF(L165=1,F165+(O165-1)*J165,(F165+(L165-1)*G165)+(J165+(L165-1)*G165)*(O165-1))))</f>
        <v/>
      </c>
      <c r="S165" s="64" t="str">
        <f>IF(ISBLANK(L165),"",IF(O165=0,"",P165+Q165+R165))</f>
        <v/>
      </c>
    </row>
    <row r="166" spans="1:19" x14ac:dyDescent="0.4">
      <c r="A166" s="45" t="s">
        <v>16</v>
      </c>
      <c r="B166" s="46" t="s">
        <v>108</v>
      </c>
      <c r="C166" s="46" t="s">
        <v>2</v>
      </c>
      <c r="D166" s="47"/>
      <c r="E166" s="67" t="str">
        <f>IF('National currencies'!E166="","",'National currencies'!E166)</f>
        <v/>
      </c>
      <c r="F166" s="66">
        <f>'National currencies'!F166</f>
        <v>0</v>
      </c>
      <c r="G166" s="65">
        <f>'National currencies'!G166</f>
        <v>0</v>
      </c>
      <c r="H166" s="66">
        <f>'National currencies'!H166</f>
        <v>0</v>
      </c>
      <c r="I166" s="48"/>
      <c r="J166" s="48"/>
      <c r="K166" s="61"/>
      <c r="L166" s="220"/>
      <c r="M166" s="62" t="str">
        <f>IF(ISBLANK(L166),"",IF((N2+O2)&gt;0,0,M2))</f>
        <v/>
      </c>
      <c r="N166" s="49"/>
      <c r="O166" s="63"/>
      <c r="P166" s="69" t="str">
        <f>IF(ISBLANK(L166),"",IF(M166=0,0,IF(L166=1,F166+(M166-1)*H166,(F166+(L166-1)*G166)+(H166+(L166-1)*G166)*(M166-1))))</f>
        <v/>
      </c>
      <c r="Q166" s="70"/>
      <c r="R166" s="71"/>
      <c r="S166" s="64" t="str">
        <f>IF(ISBLANK(L166),"",IF(M166=0,"",P166))</f>
        <v/>
      </c>
    </row>
    <row r="167" spans="1:19" x14ac:dyDescent="0.4">
      <c r="A167" s="45" t="s">
        <v>16</v>
      </c>
      <c r="B167" s="46" t="s">
        <v>109</v>
      </c>
      <c r="C167" s="46" t="s">
        <v>2</v>
      </c>
      <c r="D167" s="47"/>
      <c r="E167" s="67" t="str">
        <f>IF('National currencies'!E167="","",'National currencies'!E167)</f>
        <v>Annex 1.2.2</v>
      </c>
      <c r="F167" s="66">
        <f>'National currencies'!F167</f>
        <v>350</v>
      </c>
      <c r="G167" s="65">
        <f>'National currencies'!G167</f>
        <v>0</v>
      </c>
      <c r="H167" s="66">
        <f>'National currencies'!H167</f>
        <v>0</v>
      </c>
      <c r="I167" s="48">
        <f>'National currencies'!I167</f>
        <v>350</v>
      </c>
      <c r="J167" s="48"/>
      <c r="K167" s="61"/>
      <c r="L167" s="220"/>
      <c r="M167" s="62" t="str">
        <f>IF(ISBLANK(L167),"",IF(O2&gt;0,0,IF(N2=0,0,M2)))</f>
        <v/>
      </c>
      <c r="N167" s="49" t="str">
        <f>IF(ISBLANK(L167),"",IF(O2&gt;0,0,N2))</f>
        <v/>
      </c>
      <c r="O167" s="63"/>
      <c r="P167" s="69" t="str">
        <f>IF(ISBLANK(L167),"",IF(M167=0,0,IF(L167=1,H167+(M167-1)*H167,(H167+(L167-1)*G166)+(H167+(L167-1)*G166)*(M167-1))))</f>
        <v/>
      </c>
      <c r="Q167" s="70" t="str">
        <f>IF(ISBLANK(L167),"",IF(N167=0,0,IF(L167=1,F167+(N167-1)*I167,(F167+(L167-1)*G167)+(I167+(L167-1)*G167)*(N167-1))))</f>
        <v/>
      </c>
      <c r="R167" s="71"/>
      <c r="S167" s="64" t="str">
        <f>IF(ISBLANK(L167),"",IF(N167=0,"",P167+Q167))</f>
        <v/>
      </c>
    </row>
    <row r="168" spans="1:19" x14ac:dyDescent="0.4">
      <c r="A168" s="45" t="s">
        <v>16</v>
      </c>
      <c r="B168" s="46" t="s">
        <v>109</v>
      </c>
      <c r="C168" s="46" t="s">
        <v>2</v>
      </c>
      <c r="D168" s="47" t="s">
        <v>193</v>
      </c>
      <c r="E168" s="67" t="str">
        <f>IF('National currencies'!E168="","",'National currencies'!E168)</f>
        <v/>
      </c>
      <c r="F168" s="66">
        <f>'National currencies'!F168</f>
        <v>350</v>
      </c>
      <c r="G168" s="65">
        <f>'National currencies'!G168</f>
        <v>0</v>
      </c>
      <c r="H168" s="66">
        <f>'National currencies'!H168</f>
        <v>0</v>
      </c>
      <c r="I168" s="48">
        <f>'National currencies'!I168</f>
        <v>0</v>
      </c>
      <c r="J168" s="48"/>
      <c r="K168" s="61"/>
      <c r="L168" s="220"/>
      <c r="M168" s="62" t="str">
        <f>IF(ISBLANK(L168),"",IF(O2&gt;0,0,IF(N2=0,0,M2)))</f>
        <v/>
      </c>
      <c r="N168" s="49" t="str">
        <f>IF(ISBLANK(L168),"",IF(O2&gt;0,0,N2))</f>
        <v/>
      </c>
      <c r="O168" s="63"/>
      <c r="P168" s="69" t="str">
        <f>IF(ISBLANK(L168),"",IF(M168=0,0,IF(L168=1,H168+(M168-1)*H168,(H168+(L168-1)*G167)+(H168+(L168-1)*G167)*(M168-1))))</f>
        <v/>
      </c>
      <c r="Q168" s="70" t="str">
        <f>IF(ISBLANK(L168),"",IF(N168=0,0,IF(L168=1,F168+(N168-1)*I168,(F168+(L168-1)*G168)+(I168+(L168-1)*G168)*(N168-1))))</f>
        <v/>
      </c>
      <c r="R168" s="71"/>
      <c r="S168" s="64" t="str">
        <f>IF(ISBLANK(L168),"",IF(N168=0,"",P168+Q168))</f>
        <v/>
      </c>
    </row>
    <row r="169" spans="1:19" x14ac:dyDescent="0.4">
      <c r="A169" s="45" t="s">
        <v>16</v>
      </c>
      <c r="B169" s="46" t="s">
        <v>110</v>
      </c>
      <c r="C169" s="46" t="s">
        <v>2</v>
      </c>
      <c r="D169" s="47"/>
      <c r="E169" s="67" t="str">
        <f>IF('National currencies'!E169="","",'National currencies'!E169)</f>
        <v>Annex 1.2.2</v>
      </c>
      <c r="F169" s="66">
        <f>'National currencies'!F169</f>
        <v>900</v>
      </c>
      <c r="G169" s="65">
        <f>'National currencies'!G169</f>
        <v>0</v>
      </c>
      <c r="H169" s="66">
        <f>'National currencies'!H169</f>
        <v>0</v>
      </c>
      <c r="I169" s="48">
        <f>'National currencies'!I169</f>
        <v>350</v>
      </c>
      <c r="J169" s="48">
        <f>'National currencies'!J169</f>
        <v>900</v>
      </c>
      <c r="K169" s="61"/>
      <c r="L169" s="220"/>
      <c r="M169" s="62" t="str">
        <f>IF(ISBLANK(L169),"",IF(O2=0,0,M2))</f>
        <v/>
      </c>
      <c r="N169" s="49" t="str">
        <f>IF(ISBLANK(L169),"",IF(O2=0,0,N2))</f>
        <v/>
      </c>
      <c r="O169" s="63" t="str">
        <f>IF(ISBLANK(L169),"",O2)</f>
        <v/>
      </c>
      <c r="P169" s="69" t="str">
        <f>IF(ISBLANK(L169),"",IF(M169=0,0,IF(L169=1,H169+(M169-1)*H169,(H169+(L169-1)*G166)+(H169+(L169-1)*G166)*(M169-1))))</f>
        <v/>
      </c>
      <c r="Q169" s="70" t="str">
        <f>IF(ISBLANK(L169),"",IF(N169=0,0,IF(L169=1,I169+(N169-1)*I169,(I169+(L169-1)*G167)+(I169+(L169-1)*G167)*(N169-1))))</f>
        <v/>
      </c>
      <c r="R169" s="71" t="str">
        <f>IF(ISBLANK(L169),"",IF(O169=0,0,IF(L169=1,F169+(O169-1)*J169,(F169+(L169-1)*G169)+(J169+(L169-1)*G169)*(O169-1))))</f>
        <v/>
      </c>
      <c r="S169" s="64" t="str">
        <f>IF(ISBLANK(L169),"",IF(O169=0,"",P169+Q169+R169))</f>
        <v/>
      </c>
    </row>
    <row r="170" spans="1:19" x14ac:dyDescent="0.4">
      <c r="A170" s="45" t="s">
        <v>16</v>
      </c>
      <c r="B170" s="46" t="s">
        <v>110</v>
      </c>
      <c r="C170" s="46" t="s">
        <v>2</v>
      </c>
      <c r="D170" s="47" t="s">
        <v>194</v>
      </c>
      <c r="E170" s="67" t="str">
        <f>IF('National currencies'!E170="","",'National currencies'!E170)</f>
        <v>Annex 1.2.2</v>
      </c>
      <c r="F170" s="66">
        <f>'National currencies'!F170</f>
        <v>3350</v>
      </c>
      <c r="G170" s="65">
        <f>'National currencies'!G170</f>
        <v>0</v>
      </c>
      <c r="H170" s="66">
        <f>'National currencies'!H170</f>
        <v>0</v>
      </c>
      <c r="I170" s="48">
        <f>'National currencies'!I170</f>
        <v>350</v>
      </c>
      <c r="J170" s="48">
        <f>'National currencies'!J170</f>
        <v>3350</v>
      </c>
      <c r="K170" s="61"/>
      <c r="L170" s="220"/>
      <c r="M170" s="62" t="str">
        <f>IF(ISBLANK(L170),"",IF(O2=0,0,M2))</f>
        <v/>
      </c>
      <c r="N170" s="49" t="str">
        <f>IF(ISBLANK(L170),"",IF(O2=0,0,N2))</f>
        <v/>
      </c>
      <c r="O170" s="63" t="str">
        <f>IF(ISBLANK(L170),"",O2)</f>
        <v/>
      </c>
      <c r="P170" s="69" t="str">
        <f>IF(ISBLANK(L170),"",IF(M170=0,0,IF(L170=1,H170+(M170-1)*H170,(H170+(L170-1)*G166)+(H170+(L170-1)*G166)*(M170-1))))</f>
        <v/>
      </c>
      <c r="Q170" s="70" t="str">
        <f>IF(ISBLANK(L170),"",IF(N170=0,0,IF(L170=1,I170+(N170-1)*I170,(I170+(L170-1)*G167)+(I170+(L170-1)*G167)*(N170-1))))</f>
        <v/>
      </c>
      <c r="R170" s="71" t="str">
        <f>IF(ISBLANK(L170),"",IF(O170=0,0,IF(L170=1,F170+(O170-1)*J170,(F170+(L170-1)*G170)+(J170+(L170-1)*G170)*(O170-1))))</f>
        <v/>
      </c>
      <c r="S170" s="64" t="str">
        <f>IF(ISBLANK(L170),"",IF(O170=0,"",P170+Q170+R170))</f>
        <v/>
      </c>
    </row>
    <row r="171" spans="1:19" x14ac:dyDescent="0.4">
      <c r="A171" s="45" t="s">
        <v>16</v>
      </c>
      <c r="B171" s="46" t="s">
        <v>108</v>
      </c>
      <c r="C171" s="46" t="s">
        <v>0</v>
      </c>
      <c r="D171" s="47"/>
      <c r="E171" s="67" t="str">
        <f>IF('National currencies'!E171="","",'National currencies'!E171)</f>
        <v/>
      </c>
      <c r="F171" s="66">
        <f>'National currencies'!F171</f>
        <v>0</v>
      </c>
      <c r="G171" s="65">
        <f>'National currencies'!G171</f>
        <v>0</v>
      </c>
      <c r="H171" s="66">
        <f>'National currencies'!H171</f>
        <v>0</v>
      </c>
      <c r="I171" s="48"/>
      <c r="J171" s="48"/>
      <c r="K171" s="61"/>
      <c r="L171" s="220"/>
      <c r="M171" s="62" t="str">
        <f>IF(ISBLANK(L171),"",IF((N2+O2)&gt;0,0,M2))</f>
        <v/>
      </c>
      <c r="N171" s="49"/>
      <c r="O171" s="63"/>
      <c r="P171" s="69" t="str">
        <f>IF(ISBLANK(L171),"",IF(M171=0,0,IF(L171=1,F171+(M171-1)*H171,(F171+(L171-1)*G171)+(H171+(L171-1)*G171)*(M171-1))))</f>
        <v/>
      </c>
      <c r="Q171" s="70"/>
      <c r="R171" s="71"/>
      <c r="S171" s="64" t="str">
        <f>IF(ISBLANK(L171),"",IF(M171=0,"",P171))</f>
        <v/>
      </c>
    </row>
    <row r="172" spans="1:19" x14ac:dyDescent="0.4">
      <c r="A172" s="45" t="s">
        <v>16</v>
      </c>
      <c r="B172" s="46" t="s">
        <v>109</v>
      </c>
      <c r="C172" s="46" t="s">
        <v>0</v>
      </c>
      <c r="D172" s="47"/>
      <c r="E172" s="67" t="str">
        <f>IF('National currencies'!E172="","",'National currencies'!E172)</f>
        <v>Annex 1.2.1</v>
      </c>
      <c r="F172" s="66">
        <f>'National currencies'!F172</f>
        <v>485</v>
      </c>
      <c r="G172" s="65">
        <f>'National currencies'!G172</f>
        <v>0</v>
      </c>
      <c r="H172" s="66">
        <f>'National currencies'!H172</f>
        <v>0</v>
      </c>
      <c r="I172" s="48">
        <f>'National currencies'!I172</f>
        <v>485</v>
      </c>
      <c r="J172" s="48"/>
      <c r="K172" s="61"/>
      <c r="L172" s="220"/>
      <c r="M172" s="62" t="str">
        <f>IF(ISBLANK(L172),"",IF(O2&gt;0,0,IF(N2=0,0,M2)))</f>
        <v/>
      </c>
      <c r="N172" s="49" t="str">
        <f>IF(ISBLANK(L172),"",IF(O2&gt;0,0,N2))</f>
        <v/>
      </c>
      <c r="O172" s="63"/>
      <c r="P172" s="69" t="str">
        <f>IF(ISBLANK(L172),"",IF(M172=0,0,IF(L172=1,H172+(M172-1)*H172,(H172+(L172-1)*G171)+(H172+(L172-1)*G171)*(M172-1))))</f>
        <v/>
      </c>
      <c r="Q172" s="70" t="str">
        <f>IF(ISBLANK(L172),"",IF(N172=0,0,IF(L172=1,F172+(N172-1)*I172,(F172+(L172-1)*G172)+(I172+(L172-1)*G172)*(N172-1))))</f>
        <v/>
      </c>
      <c r="R172" s="71"/>
      <c r="S172" s="64" t="str">
        <f>IF(ISBLANK(L172),"",IF(N172=0,"",P172+Q172))</f>
        <v/>
      </c>
    </row>
    <row r="173" spans="1:19" x14ac:dyDescent="0.4">
      <c r="A173" s="45" t="s">
        <v>16</v>
      </c>
      <c r="B173" s="46" t="s">
        <v>109</v>
      </c>
      <c r="C173" s="46" t="s">
        <v>0</v>
      </c>
      <c r="D173" s="47" t="s">
        <v>193</v>
      </c>
      <c r="E173" s="67" t="str">
        <f>IF('National currencies'!E173="","",'National currencies'!E173)</f>
        <v/>
      </c>
      <c r="F173" s="66">
        <f>'National currencies'!F173</f>
        <v>485</v>
      </c>
      <c r="G173" s="65">
        <f>'National currencies'!G173</f>
        <v>0</v>
      </c>
      <c r="H173" s="66">
        <f>'National currencies'!H173</f>
        <v>0</v>
      </c>
      <c r="I173" s="48">
        <f>'National currencies'!I173</f>
        <v>0</v>
      </c>
      <c r="J173" s="48"/>
      <c r="K173" s="61"/>
      <c r="L173" s="220"/>
      <c r="M173" s="62" t="str">
        <f>IF(ISBLANK(L173),"",IF(O2&gt;0,0,IF(N2=0,0,M2)))</f>
        <v/>
      </c>
      <c r="N173" s="49" t="str">
        <f>IF(ISBLANK(L173),"",IF(O2&gt;0,0,N2))</f>
        <v/>
      </c>
      <c r="O173" s="63"/>
      <c r="P173" s="69" t="str">
        <f>IF(ISBLANK(L173),"",IF(M173=0,0,0))</f>
        <v/>
      </c>
      <c r="Q173" s="70" t="str">
        <f>IF(ISBLANK(L173),"",IF(N173=0,0,IF(L173=1,F173+(N173-1)*I173,(F173+(L173-1)*G173)+(I173+(L173-1)*G173)*(N173-1))))</f>
        <v/>
      </c>
      <c r="R173" s="71"/>
      <c r="S173" s="64" t="str">
        <f>IF(ISBLANK(L173),"",IF(N173=0,"",P173+Q173))</f>
        <v/>
      </c>
    </row>
    <row r="174" spans="1:19" x14ac:dyDescent="0.4">
      <c r="A174" s="45" t="s">
        <v>16</v>
      </c>
      <c r="B174" s="46" t="s">
        <v>110</v>
      </c>
      <c r="C174" s="46" t="s">
        <v>0</v>
      </c>
      <c r="D174" s="47"/>
      <c r="E174" s="67" t="str">
        <f>IF('National currencies'!E174="","",'National currencies'!E174)</f>
        <v>Annex 1.2.1</v>
      </c>
      <c r="F174" s="66">
        <f>'National currencies'!F174</f>
        <v>1280</v>
      </c>
      <c r="G174" s="65">
        <f>'National currencies'!G174</f>
        <v>0</v>
      </c>
      <c r="H174" s="66">
        <f>'National currencies'!H174</f>
        <v>0</v>
      </c>
      <c r="I174" s="48">
        <f>'National currencies'!I174</f>
        <v>485</v>
      </c>
      <c r="J174" s="48">
        <f>'National currencies'!J174</f>
        <v>1280</v>
      </c>
      <c r="K174" s="61"/>
      <c r="L174" s="220"/>
      <c r="M174" s="62" t="str">
        <f>IF(ISBLANK(L174),"",IF(O2=0,0,M2))</f>
        <v/>
      </c>
      <c r="N174" s="49" t="str">
        <f>IF(ISBLANK(L174),"",IF(O2=0,0,N2))</f>
        <v/>
      </c>
      <c r="O174" s="63" t="str">
        <f>IF(ISBLANK(L174),"",O2)</f>
        <v/>
      </c>
      <c r="P174" s="69" t="str">
        <f>IF(ISBLANK(L174),"",IF(M174=0,0,IF(L174=1,H174+(M174-1)*H174,(H174+(L174-1)*G171)+(H174+(L174-1)*G171)*(M174-1))))</f>
        <v/>
      </c>
      <c r="Q174" s="70" t="str">
        <f>IF(ISBLANK(L174),"",IF(N174=0,0,IF(L174=1,I174+(N174-1)*I174,(I174+(L174-1)*G172)+(I174+(L174-1)*G172)*(N174-1))))</f>
        <v/>
      </c>
      <c r="R174" s="71" t="str">
        <f>IF(ISBLANK(L174),"",IF(O174=0,0,IF(L174=1,F174+(O174-1)*J174,(F174+(L174-1)*G174)+(J174+(L174-1)*G174)*(O174-1))))</f>
        <v/>
      </c>
      <c r="S174" s="64" t="str">
        <f>IF(ISBLANK(L174),"",IF(O174=0,"",P174+Q174+R174))</f>
        <v/>
      </c>
    </row>
    <row r="175" spans="1:19" x14ac:dyDescent="0.4">
      <c r="A175" s="45" t="s">
        <v>16</v>
      </c>
      <c r="B175" s="46" t="s">
        <v>110</v>
      </c>
      <c r="C175" s="46" t="s">
        <v>0</v>
      </c>
      <c r="D175" s="47" t="s">
        <v>194</v>
      </c>
      <c r="E175" s="67" t="str">
        <f>IF('National currencies'!E175="","",'National currencies'!E175)</f>
        <v>Annex 1.2.1</v>
      </c>
      <c r="F175" s="66">
        <f>'National currencies'!F175</f>
        <v>4500</v>
      </c>
      <c r="G175" s="65">
        <f>'National currencies'!G175</f>
        <v>0</v>
      </c>
      <c r="H175" s="66">
        <f>'National currencies'!H175</f>
        <v>0</v>
      </c>
      <c r="I175" s="48">
        <f>'National currencies'!I175</f>
        <v>485</v>
      </c>
      <c r="J175" s="48">
        <f>'National currencies'!J175</f>
        <v>4500</v>
      </c>
      <c r="K175" s="61"/>
      <c r="L175" s="220"/>
      <c r="M175" s="62" t="str">
        <f>IF(ISBLANK(L175),"",IF(O2=0,0,M2))</f>
        <v/>
      </c>
      <c r="N175" s="49" t="str">
        <f>IF(ISBLANK(L175),"",IF(O2=0,0,N2))</f>
        <v/>
      </c>
      <c r="O175" s="63" t="str">
        <f>IF(ISBLANK(L175),"",O2)</f>
        <v/>
      </c>
      <c r="P175" s="69" t="str">
        <f>IF(ISBLANK(L175),"",IF(M175=0,0,IF(L175=1,H175+(M175-1)*H175,(H175+(L175-1)*G171)+(H175+(L175-1)*G171)*(M175-1))))</f>
        <v/>
      </c>
      <c r="Q175" s="70" t="str">
        <f>IF(ISBLANK(L175),"",IF(N175=0,0,IF(L175=1,I175+(N175-1)*I175,(I175+(L175-1)*G172)+(I175+(L175-1)*G172)*(N175-1))))</f>
        <v/>
      </c>
      <c r="R175" s="71" t="str">
        <f>IF(ISBLANK(L175),"",IF(O175=0,0,IF(L175=1,F175+(O175-1)*J175,(F175+(L175-1)*G175)+(J175+(L175-1)*G175)*(O175-1))))</f>
        <v/>
      </c>
      <c r="S175" s="64" t="str">
        <f>IF(ISBLANK(L175),"",IF(O175=0,"",P175+Q175+R175))</f>
        <v/>
      </c>
    </row>
    <row r="176" spans="1:19" x14ac:dyDescent="0.4">
      <c r="A176" s="45" t="s">
        <v>19</v>
      </c>
      <c r="B176" s="46" t="s">
        <v>108</v>
      </c>
      <c r="C176" s="46" t="s">
        <v>1</v>
      </c>
      <c r="D176" s="47"/>
      <c r="E176" s="67" t="str">
        <f>IF('National currencies'!E176="","",'National currencies'!E176)</f>
        <v/>
      </c>
      <c r="F176" s="66">
        <f>'National currencies'!F176</f>
        <v>0</v>
      </c>
      <c r="G176" s="65">
        <f>'National currencies'!G176</f>
        <v>0</v>
      </c>
      <c r="H176" s="66">
        <f>'National currencies'!H176</f>
        <v>0</v>
      </c>
      <c r="I176" s="48"/>
      <c r="J176" s="48"/>
      <c r="K176" s="61"/>
      <c r="L176" s="220"/>
      <c r="M176" s="62" t="str">
        <f>IF(ISBLANK(L176),"",IF((N2+O2)&gt;0,0,M2))</f>
        <v/>
      </c>
      <c r="N176" s="49"/>
      <c r="O176" s="63"/>
      <c r="P176" s="69" t="str">
        <f>IF(ISBLANK(L176),"",IF(M176=0,0,IF(L176=1,F176+(M176-1)*H176,(F176+(L176-1)*G176)+(H176+(L176-1)*G176)*(M176-1))))</f>
        <v/>
      </c>
      <c r="Q176" s="70"/>
      <c r="R176" s="71"/>
      <c r="S176" s="64" t="str">
        <f>IF(ISBLANK(L176),"",IF(M176=0,"",P176))</f>
        <v/>
      </c>
    </row>
    <row r="177" spans="1:19" x14ac:dyDescent="0.4">
      <c r="A177" s="45" t="s">
        <v>19</v>
      </c>
      <c r="B177" s="46" t="s">
        <v>108</v>
      </c>
      <c r="C177" s="46" t="s">
        <v>1</v>
      </c>
      <c r="D177" s="54" t="s">
        <v>46</v>
      </c>
      <c r="E177" s="67" t="str">
        <f>IF('National currencies'!E177="","",'National currencies'!E177)</f>
        <v>Art. III, 5° a)</v>
      </c>
      <c r="F177" s="66">
        <f>'National currencies'!F177</f>
        <v>2500</v>
      </c>
      <c r="G177" s="65">
        <f>'National currencies'!G177</f>
        <v>0</v>
      </c>
      <c r="H177" s="66">
        <f>'National currencies'!H177</f>
        <v>2500</v>
      </c>
      <c r="I177" s="48"/>
      <c r="J177" s="48"/>
      <c r="K177" s="61"/>
      <c r="L177" s="220"/>
      <c r="M177" s="62" t="str">
        <f>IF(ISBLANK(L177),"",IF((N2+O2)&gt;0,0,M2))</f>
        <v/>
      </c>
      <c r="N177" s="49"/>
      <c r="O177" s="63"/>
      <c r="P177" s="69" t="str">
        <f>IF(ISBLANK(L177),"",IF(M177=0,0,IF(L177=1,F177+(M177-1)*H177,(F177+(L177-1)*G177)+(H177+(L177-1)*G177)*(M177-1))))</f>
        <v/>
      </c>
      <c r="Q177" s="70"/>
      <c r="R177" s="71"/>
      <c r="S177" s="64" t="str">
        <f>IF(ISBLANK(L177),"",IF(M177=0,"",P177))</f>
        <v/>
      </c>
    </row>
    <row r="178" spans="1:19" x14ac:dyDescent="0.4">
      <c r="A178" s="45" t="s">
        <v>19</v>
      </c>
      <c r="B178" s="46" t="s">
        <v>109</v>
      </c>
      <c r="C178" s="46" t="s">
        <v>1</v>
      </c>
      <c r="D178" s="47"/>
      <c r="E178" s="67" t="str">
        <f>IF('National currencies'!E178="","",'National currencies'!E178)</f>
        <v>Art. III, 5° a)</v>
      </c>
      <c r="F178" s="66">
        <f>'National currencies'!F178</f>
        <v>2500</v>
      </c>
      <c r="G178" s="65">
        <f>'National currencies'!G178</f>
        <v>2500</v>
      </c>
      <c r="H178" s="66">
        <f>'National currencies'!H178</f>
        <v>0</v>
      </c>
      <c r="I178" s="48">
        <f>'National currencies'!I178</f>
        <v>2500</v>
      </c>
      <c r="J178" s="48"/>
      <c r="K178" s="61"/>
      <c r="L178" s="220"/>
      <c r="M178" s="62" t="str">
        <f>IF(ISBLANK(L178),"",IF(O2&gt;0,0,IF(N2=0,0,M2)))</f>
        <v/>
      </c>
      <c r="N178" s="49" t="str">
        <f>IF(ISBLANK(L178),"",IF(O2&gt;0,0,N2))</f>
        <v/>
      </c>
      <c r="O178" s="63"/>
      <c r="P178" s="69" t="str">
        <f>IF(ISBLANK(L178),"",IF(M178=0,0,IF(L178=1,H178+(M178-1)*H178,(H178+(L178-1)*G176)+(H178+(L178-1)*G176)*(M178-1))))</f>
        <v/>
      </c>
      <c r="Q178" s="70" t="str">
        <f>IF(ISBLANK(L178),"",IF(N178=0,0,IF(L178=1,F178+(N178-1)*I178,(F178+(L178-1)*G178)+(I178+(L178-1)*G178)*(N178-1))))</f>
        <v/>
      </c>
      <c r="R178" s="71"/>
      <c r="S178" s="64" t="str">
        <f>IF(ISBLANK(L178),"",IF(N178=0,"",P178+Q178))</f>
        <v/>
      </c>
    </row>
    <row r="179" spans="1:19" x14ac:dyDescent="0.4">
      <c r="A179" s="45" t="s">
        <v>19</v>
      </c>
      <c r="B179" s="46" t="s">
        <v>110</v>
      </c>
      <c r="C179" s="46" t="s">
        <v>1</v>
      </c>
      <c r="D179" s="47"/>
      <c r="E179" s="67" t="str">
        <f>IF('National currencies'!E179="","",'National currencies'!E179)</f>
        <v>Art. III, 5° b)</v>
      </c>
      <c r="F179" s="66">
        <f>'National currencies'!F179</f>
        <v>3500</v>
      </c>
      <c r="G179" s="65">
        <f>'National currencies'!G179</f>
        <v>3500</v>
      </c>
      <c r="H179" s="66">
        <f>'National currencies'!H179</f>
        <v>0</v>
      </c>
      <c r="I179" s="48">
        <f>'National currencies'!I179</f>
        <v>2500</v>
      </c>
      <c r="J179" s="48">
        <f>'National currencies'!J179</f>
        <v>3500</v>
      </c>
      <c r="K179" s="61"/>
      <c r="L179" s="220"/>
      <c r="M179" s="62" t="str">
        <f>IF(ISBLANK(L179),"",IF(O2=0,0,M2))</f>
        <v/>
      </c>
      <c r="N179" s="49" t="str">
        <f>IF(ISBLANK(L179),"",IF(O2=0,0,N2))</f>
        <v/>
      </c>
      <c r="O179" s="63" t="str">
        <f>IF(ISBLANK(L179),"",O2)</f>
        <v/>
      </c>
      <c r="P179" s="69" t="str">
        <f>IF(ISBLANK(L179),"",IF(M179=0,0,IF(L179=1,H179+(M179-1)*H179,(H179+(L179-1)*G176)+(H179+(L179-1)*G176)*(M179-1))))</f>
        <v/>
      </c>
      <c r="Q179" s="70" t="str">
        <f>IF(ISBLANK(L179),"",IF(N179=0,0,IF(L179=1,I179+(N179-1)*I179,(I179+(L179-1)*G178)+(I179+(L179-1)*G178)*(N179-1))))</f>
        <v/>
      </c>
      <c r="R179" s="71" t="str">
        <f>IF(ISBLANK(L179),"",IF(O179=0,0,IF(L179=1,F179+(O179-1)*J179,(F179+(L179-1)*G179)+(J179+(L179-1)*G179)*(O179-1))))</f>
        <v/>
      </c>
      <c r="S179" s="64" t="str">
        <f>IF(ISBLANK(L179),"",IF(O179=0,"",P179+Q179+R179))</f>
        <v/>
      </c>
    </row>
    <row r="180" spans="1:19" x14ac:dyDescent="0.4">
      <c r="A180" s="45" t="s">
        <v>19</v>
      </c>
      <c r="B180" s="46" t="s">
        <v>110</v>
      </c>
      <c r="C180" s="46" t="s">
        <v>1</v>
      </c>
      <c r="D180" s="98" t="s">
        <v>26</v>
      </c>
      <c r="E180" s="67" t="str">
        <f>IF('National currencies'!E180="","",'National currencies'!E180)</f>
        <v>Art. IV, 5°</v>
      </c>
      <c r="F180" s="66">
        <f>'National currencies'!F180</f>
        <v>22000</v>
      </c>
      <c r="G180" s="65">
        <f>'National currencies'!G180</f>
        <v>0</v>
      </c>
      <c r="H180" s="66">
        <f>'National currencies'!H180</f>
        <v>0</v>
      </c>
      <c r="I180" s="48">
        <f>'National currencies'!I180</f>
        <v>2500</v>
      </c>
      <c r="J180" s="48">
        <f>'National currencies'!J180</f>
        <v>3500</v>
      </c>
      <c r="K180" s="48"/>
      <c r="L180" s="220"/>
      <c r="M180" s="62" t="str">
        <f>IF(ISBLANK(L180),"",IF(O2=0,0,M2))</f>
        <v/>
      </c>
      <c r="N180" s="49" t="str">
        <f>IF(ISBLANK(L180),"",IF(O2=0,0,N2))</f>
        <v/>
      </c>
      <c r="O180" s="63" t="str">
        <f>IF(ISBLANK(L180),"",O2)</f>
        <v/>
      </c>
      <c r="P180" s="69" t="str">
        <f>IF(ISBLANK(L180),"",IF(M180=0,0,IF(L180=1,H180+(M180-1)*H180,(H180+(L180-1)*G177)+(H180+(L180-1)*G177)*(M180-1))))</f>
        <v/>
      </c>
      <c r="Q180" s="70" t="str">
        <f>IF(ISBLANK(L180),"",IF(N180=0,0,IF(L180=1,I180+(N180-1)*I180,(I180+(L180-1)*G178)+(I180+(L180-1)*G178)*(N180-1))))</f>
        <v/>
      </c>
      <c r="R180" s="71" t="str">
        <f>IF(ISBLANK(L180),"",IF(O180=0,0,IF(L180=1,F180+(O180-1)*J180,(F180+(L180-1)*G180)+(J180+(L180-1)*G180)*(O180-1))))</f>
        <v/>
      </c>
      <c r="S180" s="64" t="str">
        <f>IF(ISBLANK(L180),"",IF(O180=0,"",P180+Q180+R180))</f>
        <v/>
      </c>
    </row>
    <row r="181" spans="1:19" x14ac:dyDescent="0.4">
      <c r="A181" s="45" t="s">
        <v>19</v>
      </c>
      <c r="B181" s="46" t="s">
        <v>108</v>
      </c>
      <c r="C181" s="46" t="s">
        <v>2</v>
      </c>
      <c r="D181" s="47"/>
      <c r="E181" s="67" t="str">
        <f>IF('National currencies'!E181="","",'National currencies'!E181)</f>
        <v/>
      </c>
      <c r="F181" s="66">
        <f>'National currencies'!F181</f>
        <v>0</v>
      </c>
      <c r="G181" s="65">
        <f>'National currencies'!G181</f>
        <v>0</v>
      </c>
      <c r="H181" s="66">
        <f>'National currencies'!H181</f>
        <v>0</v>
      </c>
      <c r="I181" s="48"/>
      <c r="J181" s="48"/>
      <c r="K181" s="61"/>
      <c r="L181" s="220"/>
      <c r="M181" s="62" t="str">
        <f>IF(ISBLANK(L181),"",IF((N2+O2)&gt;0,0,M2))</f>
        <v/>
      </c>
      <c r="N181" s="49"/>
      <c r="O181" s="63"/>
      <c r="P181" s="69" t="str">
        <f>IF(ISBLANK(L181),"",IF(M181=0,0,IF(L181=1,F181+(M181-1)*H181,(F181+(L181-1)*G181)+(H181+(L181-1)*G181)*(M181-1))))</f>
        <v/>
      </c>
      <c r="Q181" s="70"/>
      <c r="R181" s="71"/>
      <c r="S181" s="64" t="str">
        <f>IF(ISBLANK(L181),"",IF(M181=0,"",P181))</f>
        <v/>
      </c>
    </row>
    <row r="182" spans="1:19" x14ac:dyDescent="0.4">
      <c r="A182" s="45" t="s">
        <v>19</v>
      </c>
      <c r="B182" s="46" t="s">
        <v>108</v>
      </c>
      <c r="C182" s="46" t="s">
        <v>2</v>
      </c>
      <c r="D182" s="56" t="s">
        <v>46</v>
      </c>
      <c r="E182" s="67" t="str">
        <f>IF('National currencies'!E182="","",'National currencies'!E182)</f>
        <v>Art. III, 5° a)</v>
      </c>
      <c r="F182" s="66">
        <f>'National currencies'!F182</f>
        <v>2500</v>
      </c>
      <c r="G182" s="65">
        <f>'National currencies'!G182</f>
        <v>0</v>
      </c>
      <c r="H182" s="66">
        <f>'National currencies'!H182</f>
        <v>2500</v>
      </c>
      <c r="I182" s="48"/>
      <c r="J182" s="48"/>
      <c r="K182" s="61"/>
      <c r="L182" s="220"/>
      <c r="M182" s="62" t="str">
        <f>IF(ISBLANK(L182),"",IF((N2+O2)&gt;0,0,M2))</f>
        <v/>
      </c>
      <c r="N182" s="49"/>
      <c r="O182" s="63"/>
      <c r="P182" s="69" t="str">
        <f>IF(ISBLANK(L182),"",IF(M182=0,0,IF(L182=1,F182+(M182-1)*H182,(F182+(L182-1)*G182)+(H182+(L182-1)*G182)*(M182-1))))</f>
        <v/>
      </c>
      <c r="Q182" s="70"/>
      <c r="R182" s="71"/>
      <c r="S182" s="64" t="str">
        <f>IF(ISBLANK(L182),"",IF(M182=0,"",P182))</f>
        <v/>
      </c>
    </row>
    <row r="183" spans="1:19" x14ac:dyDescent="0.4">
      <c r="A183" s="45" t="s">
        <v>19</v>
      </c>
      <c r="B183" s="46" t="s">
        <v>109</v>
      </c>
      <c r="C183" s="46" t="s">
        <v>2</v>
      </c>
      <c r="D183" s="47"/>
      <c r="E183" s="67" t="str">
        <f>IF('National currencies'!E183="","",'National currencies'!E183)</f>
        <v>Art. III, 5° a)</v>
      </c>
      <c r="F183" s="66">
        <f>'National currencies'!F183</f>
        <v>2500</v>
      </c>
      <c r="G183" s="65">
        <f>'National currencies'!G183</f>
        <v>2500</v>
      </c>
      <c r="H183" s="66">
        <f>'National currencies'!H183</f>
        <v>0</v>
      </c>
      <c r="I183" s="48">
        <f>'National currencies'!I183</f>
        <v>2500</v>
      </c>
      <c r="J183" s="48"/>
      <c r="K183" s="61"/>
      <c r="L183" s="220"/>
      <c r="M183" s="62" t="str">
        <f>IF(ISBLANK(L183),"",IF(O2&gt;0,0,IF(N2=0,0,M2)))</f>
        <v/>
      </c>
      <c r="N183" s="49" t="str">
        <f>IF(ISBLANK(L183),"",IF(O2&gt;0,0,N2))</f>
        <v/>
      </c>
      <c r="O183" s="63"/>
      <c r="P183" s="69" t="str">
        <f>IF(ISBLANK(L183),"",IF(M183=0,0,IF(L183=1,H183+(M183-1)*H183,(H183+(L183-1)*G181)+(H183+(L183-1)*G181)*(M183-1))))</f>
        <v/>
      </c>
      <c r="Q183" s="70" t="str">
        <f>IF(ISBLANK(L183),"",IF(N183=0,0,IF(L183=1,F183+(N183-1)*I183,(F183+(L183-1)*G183)+(I183+(L183-1)*G183)*(N183-1))))</f>
        <v/>
      </c>
      <c r="R183" s="71"/>
      <c r="S183" s="64" t="str">
        <f>IF(ISBLANK(L183),"",IF(N183=0,"",P183+Q183))</f>
        <v/>
      </c>
    </row>
    <row r="184" spans="1:19" x14ac:dyDescent="0.4">
      <c r="A184" s="45" t="s">
        <v>19</v>
      </c>
      <c r="B184" s="46" t="s">
        <v>110</v>
      </c>
      <c r="C184" s="46" t="s">
        <v>2</v>
      </c>
      <c r="D184" s="47"/>
      <c r="E184" s="67" t="str">
        <f>IF('National currencies'!E184="","",'National currencies'!E184)</f>
        <v>Art. III, 5° b)</v>
      </c>
      <c r="F184" s="66">
        <f>'National currencies'!F184</f>
        <v>3500</v>
      </c>
      <c r="G184" s="65">
        <f>'National currencies'!G184</f>
        <v>3500</v>
      </c>
      <c r="H184" s="66">
        <f>'National currencies'!H184</f>
        <v>0</v>
      </c>
      <c r="I184" s="48">
        <f>'National currencies'!I184</f>
        <v>2500</v>
      </c>
      <c r="J184" s="48">
        <f>'National currencies'!J184</f>
        <v>3500</v>
      </c>
      <c r="K184" s="61"/>
      <c r="L184" s="220"/>
      <c r="M184" s="62" t="str">
        <f>IF(ISBLANK(L184),"",IF(O2=0,0,M2))</f>
        <v/>
      </c>
      <c r="N184" s="49" t="str">
        <f>IF(ISBLANK(L184),"",IF(O2=0,0,N2))</f>
        <v/>
      </c>
      <c r="O184" s="63" t="str">
        <f>IF(ISBLANK(L184),"",O2)</f>
        <v/>
      </c>
      <c r="P184" s="69" t="str">
        <f>IF(ISBLANK(L184),"",IF(M184=0,0,IF(L184=1,H184+(M184-1)*H184,(H184+(L184-1)*G181)+(H184+(L184-1)*G181)*(M184-1))))</f>
        <v/>
      </c>
      <c r="Q184" s="70" t="str">
        <f>IF(ISBLANK(L184),"",IF(N184=0,0,IF(L184=1,I184+(N184-1)*I184,(I184+(L184-1)*G183)+(I184+(L184-1)*G183)*(N184-1))))</f>
        <v/>
      </c>
      <c r="R184" s="71" t="str">
        <f>IF(ISBLANK(L184),"",IF(O184=0,0,IF(L184=1,F184+(O184-1)*J184,(F184+(L184-1)*G184)+(J184+(L184-1)*G184)*(O184-1))))</f>
        <v/>
      </c>
      <c r="S184" s="64" t="str">
        <f>IF(ISBLANK(L184),"",IF(O184=0,"",P184+Q184+R184))</f>
        <v/>
      </c>
    </row>
    <row r="185" spans="1:19" x14ac:dyDescent="0.4">
      <c r="A185" s="45" t="s">
        <v>19</v>
      </c>
      <c r="B185" s="46" t="s">
        <v>110</v>
      </c>
      <c r="C185" s="46" t="s">
        <v>2</v>
      </c>
      <c r="D185" s="98" t="s">
        <v>26</v>
      </c>
      <c r="E185" s="67" t="str">
        <f>IF('National currencies'!E185="","",'National currencies'!E185)</f>
        <v>Art. IV, 5°</v>
      </c>
      <c r="F185" s="66">
        <f>'National currencies'!F185</f>
        <v>22000</v>
      </c>
      <c r="G185" s="65">
        <f>'National currencies'!G185</f>
        <v>0</v>
      </c>
      <c r="H185" s="66">
        <f>'National currencies'!H185</f>
        <v>0</v>
      </c>
      <c r="I185" s="48">
        <f>'National currencies'!I185</f>
        <v>2500</v>
      </c>
      <c r="J185" s="48">
        <f>'National currencies'!J185</f>
        <v>3500</v>
      </c>
      <c r="K185" s="48"/>
      <c r="L185" s="220"/>
      <c r="M185" s="62" t="str">
        <f>IF(ISBLANK(L185),"",IF(O2=0,0,M2))</f>
        <v/>
      </c>
      <c r="N185" s="49" t="str">
        <f>IF(ISBLANK(L185),"",IF(O2=0,0,N2))</f>
        <v/>
      </c>
      <c r="O185" s="63" t="str">
        <f>IF(ISBLANK(L185),"",O2)</f>
        <v/>
      </c>
      <c r="P185" s="69" t="str">
        <f>IF(ISBLANK(L185),"",IF(M185=0,0,IF(L185=1,H185+(M185-1)*H185,(H185+(L185-1)*G181)+(H185+(L185-1)*G181)*(M185-1))))</f>
        <v/>
      </c>
      <c r="Q185" s="70" t="str">
        <f>IF(ISBLANK(L185),"",IF(N185=0,0,IF(L185=1,I185+(N185-1)*I185,(I185+(L185-1)*G183)+(I185+(L185-1)*G183)*(N185-1))))</f>
        <v/>
      </c>
      <c r="R185" s="71" t="str">
        <f>IF(ISBLANK(L185),"",IF(O185=0,0,IF(L185=1,F185+(O185-1)*J185,(F185+(L185-1)*G185)+(J185+(L185-1)*G185)*(O185-1))))</f>
        <v/>
      </c>
      <c r="S185" s="64" t="str">
        <f>IF(ISBLANK(L185),"",IF(O185=0,"",P185+Q185+R185))</f>
        <v/>
      </c>
    </row>
    <row r="186" spans="1:19" x14ac:dyDescent="0.4">
      <c r="A186" s="45" t="s">
        <v>19</v>
      </c>
      <c r="B186" s="46" t="s">
        <v>108</v>
      </c>
      <c r="C186" s="46" t="s">
        <v>0</v>
      </c>
      <c r="D186" s="47"/>
      <c r="E186" s="67" t="str">
        <f>IF('National currencies'!E186="","",'National currencies'!E186)</f>
        <v/>
      </c>
      <c r="F186" s="66">
        <f>'National currencies'!F186</f>
        <v>0</v>
      </c>
      <c r="G186" s="65">
        <f>'National currencies'!G186</f>
        <v>0</v>
      </c>
      <c r="H186" s="66">
        <f>'National currencies'!H186</f>
        <v>0</v>
      </c>
      <c r="I186" s="48"/>
      <c r="J186" s="48"/>
      <c r="K186" s="61"/>
      <c r="L186" s="220"/>
      <c r="M186" s="62" t="str">
        <f>IF(ISBLANK(L186),"",IF((N2+O2)&gt;0,0,M2))</f>
        <v/>
      </c>
      <c r="N186" s="49"/>
      <c r="O186" s="63"/>
      <c r="P186" s="69" t="str">
        <f>IF(ISBLANK(L186),"",IF(M186=0,0,IF(L186=1,F186+(M186-1)*H186,(F186+(L186-1)*G186)+(H186+(L186-1)*G186)*(M186-1))))</f>
        <v/>
      </c>
      <c r="Q186" s="70"/>
      <c r="R186" s="71"/>
      <c r="S186" s="64" t="str">
        <f>IF(ISBLANK(L186),"",IF(M186=0,"",P186))</f>
        <v/>
      </c>
    </row>
    <row r="187" spans="1:19" x14ac:dyDescent="0.4">
      <c r="A187" s="45" t="s">
        <v>19</v>
      </c>
      <c r="B187" s="46" t="s">
        <v>108</v>
      </c>
      <c r="C187" s="46" t="s">
        <v>0</v>
      </c>
      <c r="D187" s="56" t="s">
        <v>46</v>
      </c>
      <c r="E187" s="67" t="str">
        <f>IF('National currencies'!E187="","",'National currencies'!E187)</f>
        <v>Art. III, 5° a)</v>
      </c>
      <c r="F187" s="66">
        <f>'National currencies'!F187</f>
        <v>2500</v>
      </c>
      <c r="G187" s="65">
        <f>'National currencies'!G187</f>
        <v>0</v>
      </c>
      <c r="H187" s="66">
        <f>'National currencies'!H187</f>
        <v>2500</v>
      </c>
      <c r="I187" s="48"/>
      <c r="J187" s="48"/>
      <c r="K187" s="61"/>
      <c r="L187" s="220"/>
      <c r="M187" s="62" t="str">
        <f>IF(ISBLANK(L187),"",IF((N2+O2)&gt;0,0,M2))</f>
        <v/>
      </c>
      <c r="N187" s="49"/>
      <c r="O187" s="63"/>
      <c r="P187" s="69" t="str">
        <f>IF(ISBLANK(L187),"",IF(M187=0,0,IF(L187=1,F187+(M187-1)*H187,(F187+(L187-1)*G187)+(H187+(L187-1)*G187)*(M187-1))))</f>
        <v/>
      </c>
      <c r="Q187" s="70"/>
      <c r="R187" s="71"/>
      <c r="S187" s="64" t="str">
        <f>IF(ISBLANK(L187),"",IF(M187=0,"",P187))</f>
        <v/>
      </c>
    </row>
    <row r="188" spans="1:19" x14ac:dyDescent="0.4">
      <c r="A188" s="45" t="s">
        <v>19</v>
      </c>
      <c r="B188" s="46" t="s">
        <v>109</v>
      </c>
      <c r="C188" s="46" t="s">
        <v>0</v>
      </c>
      <c r="D188" s="47"/>
      <c r="E188" s="67" t="str">
        <f>IF('National currencies'!E188="","",'National currencies'!E188)</f>
        <v>Art. III, 5° a)</v>
      </c>
      <c r="F188" s="66">
        <f>'National currencies'!F188</f>
        <v>2500</v>
      </c>
      <c r="G188" s="65">
        <f>'National currencies'!G188</f>
        <v>2500</v>
      </c>
      <c r="H188" s="66">
        <f>'National currencies'!H188</f>
        <v>0</v>
      </c>
      <c r="I188" s="48">
        <f>'National currencies'!I188</f>
        <v>2500</v>
      </c>
      <c r="J188" s="48"/>
      <c r="K188" s="61"/>
      <c r="L188" s="220"/>
      <c r="M188" s="62" t="str">
        <f>IF(ISBLANK(L188),"",IF(O2&gt;0,0,IF(N2=0,0,M2)))</f>
        <v/>
      </c>
      <c r="N188" s="49" t="str">
        <f>IF(ISBLANK(L188),"",IF(O2&gt;0,0,N2))</f>
        <v/>
      </c>
      <c r="O188" s="63"/>
      <c r="P188" s="69" t="str">
        <f>IF(ISBLANK(L188),"",IF(M188=0,0,IF(L188=1,H188+(M188-1)*H188,(H188+(L188-1)*G186)+(H188+(L188-1)*G186)*(M188-1))))</f>
        <v/>
      </c>
      <c r="Q188" s="70" t="str">
        <f>IF(ISBLANK(L188),"",IF(N188=0,0,IF(L188=1,F188+(N188-1)*I188,(F188+(L188-1)*G188)+(I188+(L188-1)*G188)*(N188-1))))</f>
        <v/>
      </c>
      <c r="R188" s="71"/>
      <c r="S188" s="64" t="str">
        <f>IF(ISBLANK(L188),"",IF(N188=0,"",P188+Q188))</f>
        <v/>
      </c>
    </row>
    <row r="189" spans="1:19" x14ac:dyDescent="0.4">
      <c r="A189" s="45" t="s">
        <v>19</v>
      </c>
      <c r="B189" s="46" t="s">
        <v>110</v>
      </c>
      <c r="C189" s="46" t="s">
        <v>0</v>
      </c>
      <c r="D189" s="47"/>
      <c r="E189" s="67" t="str">
        <f>IF('National currencies'!E189="","",'National currencies'!E189)</f>
        <v>Art. III, 5° b)</v>
      </c>
      <c r="F189" s="66">
        <f>'National currencies'!F189</f>
        <v>3500</v>
      </c>
      <c r="G189" s="65">
        <f>'National currencies'!G189</f>
        <v>3500</v>
      </c>
      <c r="H189" s="66">
        <f>'National currencies'!H189</f>
        <v>0</v>
      </c>
      <c r="I189" s="48">
        <f>'National currencies'!I189</f>
        <v>2500</v>
      </c>
      <c r="J189" s="48">
        <f>'National currencies'!J189</f>
        <v>3500</v>
      </c>
      <c r="K189" s="61"/>
      <c r="L189" s="220"/>
      <c r="M189" s="62" t="str">
        <f>IF(ISBLANK(L189),"",IF(O2=0,0,M2))</f>
        <v/>
      </c>
      <c r="N189" s="49" t="str">
        <f>IF(ISBLANK(L189),"",IF(O2=0,0,N2))</f>
        <v/>
      </c>
      <c r="O189" s="63" t="str">
        <f>IF(ISBLANK(L189),"",O2)</f>
        <v/>
      </c>
      <c r="P189" s="69" t="str">
        <f>IF(ISBLANK(L189),"",IF(M189=0,0,IF(L189=1,H189+(M189-1)*H189,(H189+(L189-1)*G186)+(H189+(L189-1)*G186)*(M189-1))))</f>
        <v/>
      </c>
      <c r="Q189" s="70" t="str">
        <f>IF(ISBLANK(L189),"",IF(N189=0,0,IF(L189=1,I189+(N189-1)*I189,(I189+(L189-1)*G188)+(I189+(L189-1)*G188)*(N189-1))))</f>
        <v/>
      </c>
      <c r="R189" s="71" t="str">
        <f>IF(ISBLANK(L189),"",IF(O189=0,0,IF(L189=1,F189+(O189-1)*J189,(F189+(L189-1)*G189)+(J189+(L189-1)*G189)*(O189-1))))</f>
        <v/>
      </c>
      <c r="S189" s="64" t="str">
        <f>IF(ISBLANK(L189),"",IF(O189=0,"",P189+Q189+R189))</f>
        <v/>
      </c>
    </row>
    <row r="190" spans="1:19" x14ac:dyDescent="0.4">
      <c r="A190" s="45" t="s">
        <v>19</v>
      </c>
      <c r="B190" s="46" t="s">
        <v>110</v>
      </c>
      <c r="C190" s="46" t="s">
        <v>0</v>
      </c>
      <c r="D190" s="98" t="s">
        <v>26</v>
      </c>
      <c r="E190" s="67" t="str">
        <f>IF('National currencies'!E190="","",'National currencies'!E190)</f>
        <v>Art. IV, 5°</v>
      </c>
      <c r="F190" s="66">
        <f>'National currencies'!F190</f>
        <v>22000</v>
      </c>
      <c r="G190" s="65">
        <f>'National currencies'!G190</f>
        <v>0</v>
      </c>
      <c r="H190" s="66">
        <f>'National currencies'!H190</f>
        <v>0</v>
      </c>
      <c r="I190" s="48">
        <f>'National currencies'!I190</f>
        <v>2500</v>
      </c>
      <c r="J190" s="48">
        <f>'National currencies'!J190</f>
        <v>3500</v>
      </c>
      <c r="K190" s="48"/>
      <c r="L190" s="220"/>
      <c r="M190" s="62" t="str">
        <f>IF(ISBLANK(L190),"",IF(O2=0,0,M2))</f>
        <v/>
      </c>
      <c r="N190" s="49" t="str">
        <f>IF(ISBLANK(L190),"",IF(O2=0,0,N2))</f>
        <v/>
      </c>
      <c r="O190" s="63" t="str">
        <f>IF(ISBLANK(L190),"",O2)</f>
        <v/>
      </c>
      <c r="P190" s="69" t="str">
        <f>IF(ISBLANK(L190),"",IF(M190=0,0,IF(L190=1,H190+(M190-1)*H190,(H190+(L190-1)*G186)+(H190+(L190-1)*G186)*(M190-1))))</f>
        <v/>
      </c>
      <c r="Q190" s="70" t="str">
        <f>IF(ISBLANK(L190),"",IF(N190=0,0,IF(L190=1,I190+(N190-1)*I190,(I190+(L190-1)*G188)+(I190+(L190-1)*G188)*(N190-1))))</f>
        <v/>
      </c>
      <c r="R190" s="71" t="str">
        <f>IF(ISBLANK(L190),"",IF(O190=0,0,IF(L190=1,F190+(O190-1)*J190,(F190+(L190-1)*G190)+(J190+(L190-1)*G190)*(O190-1))))</f>
        <v/>
      </c>
      <c r="S190" s="64" t="str">
        <f>IF(ISBLANK(L190),"",IF(O190=0,"",P190+Q190+R190))</f>
        <v/>
      </c>
    </row>
    <row r="191" spans="1:19" x14ac:dyDescent="0.4">
      <c r="A191" s="45" t="s">
        <v>78</v>
      </c>
      <c r="B191" s="46" t="s">
        <v>108</v>
      </c>
      <c r="C191" s="46" t="s">
        <v>1</v>
      </c>
      <c r="D191" s="47"/>
      <c r="E191" s="67" t="str">
        <f>IF('National currencies'!E191="","",'National currencies'!E191)</f>
        <v>3.2.1.1.1.</v>
      </c>
      <c r="F191" s="66">
        <f>'National currencies'!F191</f>
        <v>825</v>
      </c>
      <c r="G191" s="65">
        <f>'National currencies'!G191</f>
        <v>95</v>
      </c>
      <c r="H191" s="66">
        <f>'National currencies'!H191</f>
        <v>825</v>
      </c>
      <c r="I191" s="48"/>
      <c r="J191" s="48"/>
      <c r="K191" s="61"/>
      <c r="L191" s="220"/>
      <c r="M191" s="62" t="str">
        <f>IF(ISBLANK(L191),"",IF((N2+O2)&gt;0,0,M2))</f>
        <v/>
      </c>
      <c r="N191" s="49"/>
      <c r="O191" s="63"/>
      <c r="P191" s="69" t="str">
        <f>IF(ISBLANK(L191),"",IF(M191=0,0,IF(L191=1,F191+(M191-1)*H191,(F191+(L191-1)*G191)+(H191+(L191-1)*G191)*(M191-1))))</f>
        <v/>
      </c>
      <c r="Q191" s="70"/>
      <c r="R191" s="71"/>
      <c r="S191" s="64" t="str">
        <f>IF(ISBLANK(L191),"",IF(M191=0,"",P191))</f>
        <v/>
      </c>
    </row>
    <row r="192" spans="1:19" x14ac:dyDescent="0.4">
      <c r="A192" s="45" t="s">
        <v>78</v>
      </c>
      <c r="B192" s="46" t="s">
        <v>109</v>
      </c>
      <c r="C192" s="46" t="s">
        <v>1</v>
      </c>
      <c r="D192" s="47"/>
      <c r="E192" s="67" t="str">
        <f>IF('National currencies'!E192="","",'National currencies'!E192)</f>
        <v>3.2.1.1.2.</v>
      </c>
      <c r="F192" s="66">
        <f>'National currencies'!F192</f>
        <v>1375</v>
      </c>
      <c r="G192" s="65">
        <f>'National currencies'!G192</f>
        <v>95</v>
      </c>
      <c r="H192" s="66">
        <f>'National currencies'!H192</f>
        <v>825</v>
      </c>
      <c r="I192" s="48">
        <f>'National currencies'!I192</f>
        <v>1375</v>
      </c>
      <c r="J192" s="48"/>
      <c r="K192" s="61"/>
      <c r="L192" s="220"/>
      <c r="M192" s="62" t="str">
        <f>IF(ISBLANK(L192),"",IF(O2&gt;0,0,IF(N2=0,0,M2)))</f>
        <v/>
      </c>
      <c r="N192" s="49" t="str">
        <f>IF(ISBLANK(L192),"",IF(O2&gt;0,0,N2))</f>
        <v/>
      </c>
      <c r="O192" s="63"/>
      <c r="P192" s="69" t="str">
        <f>IF(ISBLANK(L192),"",IF(M192=0,0,IF(L192=1,H192+(M192-1)*H192,(H192+(L192-1)*G191)+(H192+(L192-1)*G191)*(M192-1))))</f>
        <v/>
      </c>
      <c r="Q192" s="70" t="str">
        <f>IF(ISBLANK(L192),"",IF(N192=0,0,IF(L192=1,F192+(N192-1)*I192,(F192+(L192-1)*G192)+(I192+(L192-1)*G192)*(N192-1))))</f>
        <v/>
      </c>
      <c r="R192" s="71"/>
      <c r="S192" s="64" t="str">
        <f>IF(ISBLANK(L192),"",IF(N192=0,"",P192+Q192))</f>
        <v/>
      </c>
    </row>
    <row r="193" spans="1:19" x14ac:dyDescent="0.4">
      <c r="A193" s="45" t="s">
        <v>78</v>
      </c>
      <c r="B193" s="46" t="s">
        <v>110</v>
      </c>
      <c r="C193" s="46" t="s">
        <v>1</v>
      </c>
      <c r="D193" s="47" t="s">
        <v>4</v>
      </c>
      <c r="E193" s="67" t="str">
        <f>IF('National currencies'!E193="","",'National currencies'!E193)</f>
        <v>3.2.1.2.1</v>
      </c>
      <c r="F193" s="66">
        <f>'National currencies'!F193</f>
        <v>1595</v>
      </c>
      <c r="G193" s="65">
        <f>'National currencies'!G193</f>
        <v>280</v>
      </c>
      <c r="H193" s="66">
        <f>'National currencies'!H193</f>
        <v>825</v>
      </c>
      <c r="I193" s="48">
        <f>'National currencies'!I193</f>
        <v>1375</v>
      </c>
      <c r="J193" s="48">
        <f>'National currencies'!J193</f>
        <v>1595</v>
      </c>
      <c r="K193" s="61"/>
      <c r="L193" s="220"/>
      <c r="M193" s="62" t="str">
        <f>IF(ISBLANK(L193),"",IF(O2=0,0,M2))</f>
        <v/>
      </c>
      <c r="N193" s="49" t="str">
        <f>IF(ISBLANK(L193),"",IF(O2=0,0,N2))</f>
        <v/>
      </c>
      <c r="O193" s="63" t="str">
        <f>IF(ISBLANK(L193),"",O2)</f>
        <v/>
      </c>
      <c r="P193" s="69" t="str">
        <f>IF(ISBLANK(L193),"",IF(M193=0,0,IF(L193=1,H193+(M193-1)*H193,(H193+(L193-1)*G191)+(H193+(L193-1)*G191)*(M193-1))))</f>
        <v/>
      </c>
      <c r="Q193" s="70" t="str">
        <f>IF(ISBLANK(L193),"",IF(N193=0,0,IF(L193=1,I193+(N193-1)*I193,(I193+(L193-1)*G192)+(I193+(L193-1)*G192)*(N193-1))))</f>
        <v/>
      </c>
      <c r="R193" s="71" t="str">
        <f>IF(ISBLANK(L193),"",IF(O193=0,0,IF(L193=1,F193+(O193-1)*J193,(F193+(L193-1)*G193)+(J193+(L193-1)*G193)*(O193-1))))</f>
        <v/>
      </c>
      <c r="S193" s="64" t="str">
        <f>IF(ISBLANK(L193),"",IF(O193=0,"",P193+Q193+R193))</f>
        <v/>
      </c>
    </row>
    <row r="194" spans="1:19" x14ac:dyDescent="0.4">
      <c r="A194" s="45" t="s">
        <v>78</v>
      </c>
      <c r="B194" s="46" t="s">
        <v>110</v>
      </c>
      <c r="C194" s="46" t="s">
        <v>1</v>
      </c>
      <c r="D194" s="47" t="s">
        <v>5</v>
      </c>
      <c r="E194" s="67" t="str">
        <f>IF('National currencies'!E194="","",'National currencies'!E194)</f>
        <v>3.2.1.2.2</v>
      </c>
      <c r="F194" s="66">
        <f>'National currencies'!F194</f>
        <v>2860</v>
      </c>
      <c r="G194" s="65">
        <f>'National currencies'!G194</f>
        <v>280</v>
      </c>
      <c r="H194" s="66">
        <f>'National currencies'!H194</f>
        <v>825</v>
      </c>
      <c r="I194" s="48">
        <f>'National currencies'!I194</f>
        <v>1375</v>
      </c>
      <c r="J194" s="48">
        <f>'National currencies'!J194</f>
        <v>2860</v>
      </c>
      <c r="K194" s="61"/>
      <c r="L194" s="220"/>
      <c r="M194" s="62" t="str">
        <f>IF(ISBLANK(L194),"",IF(O2=0,0,M2))</f>
        <v/>
      </c>
      <c r="N194" s="49" t="str">
        <f>IF(ISBLANK(L194),"",IF(O2=0,0,N2))</f>
        <v/>
      </c>
      <c r="O194" s="63" t="str">
        <f>IF(ISBLANK(L194),"",O2)</f>
        <v/>
      </c>
      <c r="P194" s="69" t="str">
        <f>IF(ISBLANK(L194),"",IF(M194=0,0,IF(L194=1,H194+(M194-1)*H194,(H194+(L194-1)*G191)+(H194+(L194-1)*G191)*(M194-1))))</f>
        <v/>
      </c>
      <c r="Q194" s="70" t="str">
        <f>IF(ISBLANK(L194),"",IF(N194=0,0,IF(L194=1,I194+(N194-1)*I194,(I194+(L194-1)*G192)+(I194+(L194-1)*G192)*(N194-1))))</f>
        <v/>
      </c>
      <c r="R194" s="71" t="str">
        <f>IF(ISBLANK(L194),"",IF(O194=0,0,IF(L194=1,F194+(O194-1)*J194,(F194+(L194-1)*G194)+(J194+(L194-1)*G194)*(O194-1))))</f>
        <v/>
      </c>
      <c r="S194" s="64" t="str">
        <f>IF(ISBLANK(L194),"",IF(O194=0,"",P194+Q194+R194))</f>
        <v/>
      </c>
    </row>
    <row r="195" spans="1:19" x14ac:dyDescent="0.4">
      <c r="A195" s="45" t="s">
        <v>78</v>
      </c>
      <c r="B195" s="46" t="s">
        <v>110</v>
      </c>
      <c r="C195" s="46" t="s">
        <v>1</v>
      </c>
      <c r="D195" s="47" t="s">
        <v>79</v>
      </c>
      <c r="E195" s="67" t="str">
        <f>IF('National currencies'!E195="","",'National currencies'!E195)</f>
        <v>3.2.1.2.3</v>
      </c>
      <c r="F195" s="66">
        <f>'National currencies'!F195</f>
        <v>4235</v>
      </c>
      <c r="G195" s="65">
        <f>'National currencies'!G195</f>
        <v>280</v>
      </c>
      <c r="H195" s="66">
        <f>'National currencies'!H195</f>
        <v>825</v>
      </c>
      <c r="I195" s="48">
        <f>'National currencies'!I195</f>
        <v>1375</v>
      </c>
      <c r="J195" s="48">
        <f>'National currencies'!J195</f>
        <v>4235</v>
      </c>
      <c r="K195" s="61"/>
      <c r="L195" s="220"/>
      <c r="M195" s="62" t="str">
        <f>IF(ISBLANK(L195),"",IF(O2=0,0,M2))</f>
        <v/>
      </c>
      <c r="N195" s="49" t="str">
        <f>IF(ISBLANK(L195),"",IF(O2=0,0,N2))</f>
        <v/>
      </c>
      <c r="O195" s="63" t="str">
        <f>IF(ISBLANK(L195),"",O2)</f>
        <v/>
      </c>
      <c r="P195" s="69" t="str">
        <f>IF(ISBLANK(L195),"",IF(M195=0,0,IF(L195=1,H195+(M195-1)*H195,(H195+(L195-1)*G191)+(H195+(L195-1)*G191)*(M195-1))))</f>
        <v/>
      </c>
      <c r="Q195" s="70" t="str">
        <f>IF(ISBLANK(L195),"",IF(N195=0,0,IF(L195=1,I195+(N195-1)*I195,(I195+(L195-1)*G192)+(I195+(L195-1)*G192)*(N195-1))))</f>
        <v/>
      </c>
      <c r="R195" s="71" t="str">
        <f>IF(ISBLANK(L195),"",IF(O195=0,0,IF(L195=1,F195+(O195-1)*J195,(F195+(L195-1)*G195)+(J195+(L195-1)*G195)*(O195-1))))</f>
        <v/>
      </c>
      <c r="S195" s="64" t="str">
        <f>IF(ISBLANK(L195),"",IF(O195=0,"",P195+Q195+R195))</f>
        <v/>
      </c>
    </row>
    <row r="196" spans="1:19" x14ac:dyDescent="0.4">
      <c r="A196" s="45" t="s">
        <v>78</v>
      </c>
      <c r="B196" s="46" t="s">
        <v>108</v>
      </c>
      <c r="C196" s="46" t="s">
        <v>2</v>
      </c>
      <c r="D196" s="47"/>
      <c r="E196" s="67" t="str">
        <f>IF('National currencies'!E196="","",'National currencies'!E196)</f>
        <v>3.2.2.1.1.</v>
      </c>
      <c r="F196" s="66">
        <f>'National currencies'!F196</f>
        <v>385</v>
      </c>
      <c r="G196" s="65">
        <f>'National currencies'!G196</f>
        <v>95</v>
      </c>
      <c r="H196" s="66">
        <f>'National currencies'!H196</f>
        <v>385</v>
      </c>
      <c r="I196" s="48"/>
      <c r="J196" s="48"/>
      <c r="K196" s="61"/>
      <c r="L196" s="220"/>
      <c r="M196" s="62" t="str">
        <f>IF(ISBLANK(L196),"",IF((N2+O2)&gt;0,0,M2))</f>
        <v/>
      </c>
      <c r="N196" s="49"/>
      <c r="O196" s="63"/>
      <c r="P196" s="69" t="str">
        <f>IF(ISBLANK(L196),"",IF(M196=0,0,IF(L196=1,F196+(M196-1)*H196,(F196+(L196-1)*G196)+(H196+(L196-1)*G196)*(M196-1))))</f>
        <v/>
      </c>
      <c r="Q196" s="70"/>
      <c r="R196" s="71"/>
      <c r="S196" s="64" t="str">
        <f>IF(ISBLANK(L196),"",IF(M196=0,"",P196))</f>
        <v/>
      </c>
    </row>
    <row r="197" spans="1:19" x14ac:dyDescent="0.4">
      <c r="A197" s="45" t="s">
        <v>78</v>
      </c>
      <c r="B197" s="46" t="s">
        <v>109</v>
      </c>
      <c r="C197" s="46" t="s">
        <v>2</v>
      </c>
      <c r="D197" s="47"/>
      <c r="E197" s="67" t="str">
        <f>IF('National currencies'!E197="","",'National currencies'!E197)</f>
        <v>3.2.2.1.2.</v>
      </c>
      <c r="F197" s="66">
        <f>'National currencies'!F197</f>
        <v>605</v>
      </c>
      <c r="G197" s="65">
        <f>'National currencies'!G197</f>
        <v>95</v>
      </c>
      <c r="H197" s="66">
        <f>'National currencies'!H197</f>
        <v>385</v>
      </c>
      <c r="I197" s="48">
        <f>'National currencies'!I197</f>
        <v>605</v>
      </c>
      <c r="J197" s="48"/>
      <c r="K197" s="61"/>
      <c r="L197" s="220"/>
      <c r="M197" s="62" t="str">
        <f>IF(ISBLANK(L197),"",IF(O2&gt;0,0,IF(N2=0,0,M2)))</f>
        <v/>
      </c>
      <c r="N197" s="49" t="str">
        <f>IF(ISBLANK(L197),"",IF(O2&gt;0,0,N2))</f>
        <v/>
      </c>
      <c r="O197" s="63"/>
      <c r="P197" s="69" t="str">
        <f>IF(ISBLANK(L197),"",IF(M197=0,0,IF(L197=1,H197+(M197-1)*H197,(H197+(L197-1)*G196)+(H197+(L197-1)*G196)*(M197-1))))</f>
        <v/>
      </c>
      <c r="Q197" s="70" t="str">
        <f>IF(ISBLANK(L197),"",IF(N197=0,0,IF(L197=1,F197+(N197-1)*I197,(F197+(L197-1)*G197)+(I197+(L197-1)*G197)*(N197-1))))</f>
        <v/>
      </c>
      <c r="R197" s="71"/>
      <c r="S197" s="64" t="str">
        <f>IF(ISBLANK(L197),"",IF(N197=0,"",P197+Q197))</f>
        <v/>
      </c>
    </row>
    <row r="198" spans="1:19" x14ac:dyDescent="0.4">
      <c r="A198" s="45" t="s">
        <v>78</v>
      </c>
      <c r="B198" s="46" t="s">
        <v>110</v>
      </c>
      <c r="C198" s="46" t="s">
        <v>2</v>
      </c>
      <c r="D198" s="47"/>
      <c r="E198" s="67" t="str">
        <f>IF('National currencies'!E198="","",'National currencies'!E198)</f>
        <v>3.2.2.2.1.</v>
      </c>
      <c r="F198" s="66">
        <f>'National currencies'!F198</f>
        <v>1045</v>
      </c>
      <c r="G198" s="65">
        <f>'National currencies'!G198</f>
        <v>95</v>
      </c>
      <c r="H198" s="66">
        <f>'National currencies'!H198</f>
        <v>385</v>
      </c>
      <c r="I198" s="48">
        <f>'National currencies'!I198</f>
        <v>605</v>
      </c>
      <c r="J198" s="48">
        <f>'National currencies'!J198</f>
        <v>1045</v>
      </c>
      <c r="K198" s="61"/>
      <c r="L198" s="220"/>
      <c r="M198" s="62" t="str">
        <f>IF(ISBLANK(L198),"",IF(O2=0,0,M2))</f>
        <v/>
      </c>
      <c r="N198" s="49" t="str">
        <f>IF(ISBLANK(L198),"",IF(O2=0,0,N2))</f>
        <v/>
      </c>
      <c r="O198" s="63" t="str">
        <f>IF(ISBLANK(L198),"",O2)</f>
        <v/>
      </c>
      <c r="P198" s="69" t="str">
        <f>IF(ISBLANK(L198),"",IF(M198=0,0,IF(L198=1,H198+(M198-1)*H198,(H198+(L198-1)*G196)+(H198+(L198-1)*G196)*(M198-1))))</f>
        <v/>
      </c>
      <c r="Q198" s="70" t="str">
        <f>IF(ISBLANK(L198),"",IF(N198=0,0,IF(L198=1,I198+(N198-1)*I198,(I198+(L198-1)*G197)+(I198+(L198-1)*G197)*(N198-1))))</f>
        <v/>
      </c>
      <c r="R198" s="71" t="str">
        <f>IF(ISBLANK(L198),"",IF(O198=0,0,IF(L198=1,F198+(O198-1)*J198,(F198+(L198-1)*G198)+(J198+(L198-1)*G198)*(O198-1))))</f>
        <v/>
      </c>
      <c r="S198" s="64" t="str">
        <f>IF(ISBLANK(L198),"",IF(O198=0,"",P198+Q198+R198))</f>
        <v/>
      </c>
    </row>
    <row r="199" spans="1:19" x14ac:dyDescent="0.4">
      <c r="A199" s="45" t="s">
        <v>78</v>
      </c>
      <c r="B199" s="46" t="s">
        <v>108</v>
      </c>
      <c r="C199" s="46" t="s">
        <v>0</v>
      </c>
      <c r="D199" s="47"/>
      <c r="E199" s="67" t="str">
        <f>IF('National currencies'!E199="","",'National currencies'!E199)</f>
        <v>3.1.1.1.</v>
      </c>
      <c r="F199" s="66">
        <f>'National currencies'!F199</f>
        <v>385</v>
      </c>
      <c r="G199" s="65">
        <f>'National currencies'!G199</f>
        <v>95</v>
      </c>
      <c r="H199" s="66">
        <f>'National currencies'!H199</f>
        <v>385</v>
      </c>
      <c r="I199" s="48"/>
      <c r="J199" s="48"/>
      <c r="K199" s="61"/>
      <c r="L199" s="220"/>
      <c r="M199" s="62" t="str">
        <f>IF(ISBLANK(L199),"",IF((N2+O2)&gt;0,0,M2))</f>
        <v/>
      </c>
      <c r="N199" s="49"/>
      <c r="O199" s="63"/>
      <c r="P199" s="69" t="str">
        <f>IF(ISBLANK(L199),"",IF(M199=0,0,IF(L199=1,F199+(M199-1)*H199,(F199+(L199-1)*G199)+(H199+(L199-1)*G199)*(M199-1))))</f>
        <v/>
      </c>
      <c r="Q199" s="70"/>
      <c r="R199" s="71"/>
      <c r="S199" s="64" t="str">
        <f>IF(ISBLANK(L199),"",IF(M199=0,"",P199))</f>
        <v/>
      </c>
    </row>
    <row r="200" spans="1:19" x14ac:dyDescent="0.4">
      <c r="A200" s="45" t="s">
        <v>78</v>
      </c>
      <c r="B200" s="46" t="s">
        <v>109</v>
      </c>
      <c r="C200" s="46" t="s">
        <v>0</v>
      </c>
      <c r="D200" s="47"/>
      <c r="E200" s="67" t="str">
        <f>IF('National currencies'!E200="","",'National currencies'!E200)</f>
        <v>3.1.1.2.</v>
      </c>
      <c r="F200" s="66">
        <f>'National currencies'!F200</f>
        <v>605</v>
      </c>
      <c r="G200" s="65">
        <f>'National currencies'!G200</f>
        <v>95</v>
      </c>
      <c r="H200" s="66">
        <f>'National currencies'!H200</f>
        <v>385</v>
      </c>
      <c r="I200" s="48">
        <f>'National currencies'!I200</f>
        <v>605</v>
      </c>
      <c r="J200" s="48"/>
      <c r="K200" s="61"/>
      <c r="L200" s="220"/>
      <c r="M200" s="62" t="str">
        <f>IF(ISBLANK(L200),"",IF(O2&gt;0,0,IF(N2=0,0,M2)))</f>
        <v/>
      </c>
      <c r="N200" s="49" t="str">
        <f>IF(ISBLANK(L200),"",IF(O2&gt;0,0,N2))</f>
        <v/>
      </c>
      <c r="O200" s="63"/>
      <c r="P200" s="69" t="str">
        <f>IF(ISBLANK(L200),"",IF(M200=0,0,IF(L200=1,H200+(M200-1)*H200,(H200+(L200-1)*G199)+(H200+(L200-1)*G199)*(M200-1))))</f>
        <v/>
      </c>
      <c r="Q200" s="70" t="str">
        <f>IF(ISBLANK(L200),"",IF(N200=0,0,IF(L200=1,F200+(N200-1)*I200,(F200+(L200-1)*G200)+(I200+(L200-1)*G200)*(N200-1))))</f>
        <v/>
      </c>
      <c r="R200" s="71"/>
      <c r="S200" s="64" t="str">
        <f>IF(ISBLANK(L200),"",IF(N200=0,"",P200+Q200))</f>
        <v/>
      </c>
    </row>
    <row r="201" spans="1:19" x14ac:dyDescent="0.4">
      <c r="A201" s="45" t="s">
        <v>78</v>
      </c>
      <c r="B201" s="46" t="s">
        <v>110</v>
      </c>
      <c r="C201" s="46" t="s">
        <v>0</v>
      </c>
      <c r="D201" s="47" t="s">
        <v>4</v>
      </c>
      <c r="E201" s="67" t="str">
        <f>IF('National currencies'!E201="","",'National currencies'!E201)</f>
        <v>3.1.2.1.</v>
      </c>
      <c r="F201" s="66">
        <f>'National currencies'!F201</f>
        <v>825</v>
      </c>
      <c r="G201" s="65">
        <f>'National currencies'!G201</f>
        <v>95</v>
      </c>
      <c r="H201" s="66">
        <f>'National currencies'!H201</f>
        <v>385</v>
      </c>
      <c r="I201" s="48">
        <f>'National currencies'!I201</f>
        <v>605</v>
      </c>
      <c r="J201" s="48">
        <f>'National currencies'!J201</f>
        <v>825</v>
      </c>
      <c r="K201" s="61"/>
      <c r="L201" s="220"/>
      <c r="M201" s="62" t="str">
        <f>IF(ISBLANK(L201),"",IF(O2=0,0,M2))</f>
        <v/>
      </c>
      <c r="N201" s="49" t="str">
        <f>IF(ISBLANK(L201),"",IF(O2=0,0,N2))</f>
        <v/>
      </c>
      <c r="O201" s="63" t="str">
        <f>IF(ISBLANK(L201),"",O2)</f>
        <v/>
      </c>
      <c r="P201" s="69" t="str">
        <f>IF(ISBLANK(L201),"",IF(M201=0,0,IF(L201=1,H201+(M201-1)*H201,(H201+(L201-1)*G199)+(H201+(L201-1)*G199)*(M201-1))))</f>
        <v/>
      </c>
      <c r="Q201" s="70" t="str">
        <f>IF(ISBLANK(L201),"",IF(N201=0,0,IF(L201=1,I201+(N201-1)*I201,(I201+(L201-1)*G200)+(I201+(L201-1)*G200)*(N201-1))))</f>
        <v/>
      </c>
      <c r="R201" s="71" t="str">
        <f>IF(ISBLANK(L201),"",IF(O201=0,0,IF(L201=1,F201+(O201-1)*J201,(F201+(L201-1)*G201)+(J201+(L201-1)*G201)*(O201-1))))</f>
        <v/>
      </c>
      <c r="S201" s="64" t="str">
        <f>IF(ISBLANK(L201),"",IF(O201=0,"",P201+Q201+R201))</f>
        <v/>
      </c>
    </row>
    <row r="202" spans="1:19" x14ac:dyDescent="0.4">
      <c r="A202" s="45" t="s">
        <v>78</v>
      </c>
      <c r="B202" s="46" t="s">
        <v>110</v>
      </c>
      <c r="C202" s="46" t="s">
        <v>0</v>
      </c>
      <c r="D202" s="47" t="s">
        <v>5</v>
      </c>
      <c r="E202" s="67" t="str">
        <f>IF('National currencies'!E202="","",'National currencies'!E202)</f>
        <v>3.1.2.2.</v>
      </c>
      <c r="F202" s="66">
        <f>'National currencies'!F202</f>
        <v>1650</v>
      </c>
      <c r="G202" s="65">
        <f>'National currencies'!G202</f>
        <v>95</v>
      </c>
      <c r="H202" s="66">
        <f>'National currencies'!H202</f>
        <v>385</v>
      </c>
      <c r="I202" s="48">
        <f>'National currencies'!I202</f>
        <v>605</v>
      </c>
      <c r="J202" s="48">
        <f>'National currencies'!J202</f>
        <v>1650</v>
      </c>
      <c r="K202" s="61"/>
      <c r="L202" s="220"/>
      <c r="M202" s="62" t="str">
        <f>IF(ISBLANK(L202),"",IF(O2=0,0,M2))</f>
        <v/>
      </c>
      <c r="N202" s="49" t="str">
        <f>IF(ISBLANK(L202),"",IF(O2=0,0,N2))</f>
        <v/>
      </c>
      <c r="O202" s="63" t="str">
        <f>IF(ISBLANK(L202),"",O2)</f>
        <v/>
      </c>
      <c r="P202" s="69" t="str">
        <f>IF(ISBLANK(L202),"",IF(M202=0,0,IF(L202=1,H202+(M202-1)*H202,(H202+(L202-1)*G199)+(H202+(L202-1)*G199)*(M202-1))))</f>
        <v/>
      </c>
      <c r="Q202" s="70" t="str">
        <f>IF(ISBLANK(L202),"",IF(N202=0,0,IF(L202=1,I202+(N202-1)*I202,(I202+(L202-1)*G200)+(I202+(L202-1)*G200)*(N202-1))))</f>
        <v/>
      </c>
      <c r="R202" s="71" t="str">
        <f>IF(ISBLANK(L202),"",IF(O202=0,0,IF(L202=1,F202+(O202-1)*J202,(F202+(L202-1)*G202)+(J202+(L202-1)*G202)*(O202-1))))</f>
        <v/>
      </c>
      <c r="S202" s="64" t="str">
        <f>IF(ISBLANK(L202),"",IF(O202=0,"",P202+Q202+R202))</f>
        <v/>
      </c>
    </row>
    <row r="203" spans="1:19" x14ac:dyDescent="0.4">
      <c r="A203" s="45" t="s">
        <v>78</v>
      </c>
      <c r="B203" s="46" t="s">
        <v>110</v>
      </c>
      <c r="C203" s="46" t="s">
        <v>0</v>
      </c>
      <c r="D203" s="47" t="s">
        <v>79</v>
      </c>
      <c r="E203" s="67" t="str">
        <f>IF('National currencies'!E203="","",'National currencies'!E203)</f>
        <v>3.1.2.3.</v>
      </c>
      <c r="F203" s="66">
        <f>'National currencies'!F203</f>
        <v>3300</v>
      </c>
      <c r="G203" s="65">
        <f>'National currencies'!G203</f>
        <v>95</v>
      </c>
      <c r="H203" s="66">
        <f>'National currencies'!H203</f>
        <v>385</v>
      </c>
      <c r="I203" s="48">
        <f>'National currencies'!I203</f>
        <v>605</v>
      </c>
      <c r="J203" s="48">
        <f>'National currencies'!J203</f>
        <v>3300</v>
      </c>
      <c r="K203" s="61"/>
      <c r="L203" s="220"/>
      <c r="M203" s="62" t="str">
        <f>IF(ISBLANK(L203),"",IF(O2=0,0,M2))</f>
        <v/>
      </c>
      <c r="N203" s="49" t="str">
        <f>IF(ISBLANK(L203),"",IF(O2=0,0,N2))</f>
        <v/>
      </c>
      <c r="O203" s="63" t="str">
        <f>IF(ISBLANK(L203),"",O2)</f>
        <v/>
      </c>
      <c r="P203" s="69" t="str">
        <f>IF(ISBLANK(L203),"",IF(M203=0,0,IF(L203=1,H203+(M203-1)*H203,(H203+(L203-1)*G199)+(H203+(L203-1)*G199)*(M203-1))))</f>
        <v/>
      </c>
      <c r="Q203" s="70" t="str">
        <f>IF(ISBLANK(L203),"",IF(N203=0,0,IF(L203=1,I203+(N203-1)*I203,(I203+(L203-1)*G200)+(I203+(L203-1)*G200)*(N203-1))))</f>
        <v/>
      </c>
      <c r="R203" s="71" t="str">
        <f>IF(ISBLANK(L203),"",IF(O203=0,0,IF(L203=1,F203+(O203-1)*J203,(F203+(L203-1)*G203)+(J203+(L203-1)*G203)*(O203-1))))</f>
        <v/>
      </c>
      <c r="S203" s="64" t="str">
        <f>IF(ISBLANK(L203),"",IF(O203=0,"",P203+Q203+R203))</f>
        <v/>
      </c>
    </row>
    <row r="204" spans="1:19" x14ac:dyDescent="0.4">
      <c r="A204" s="45" t="s">
        <v>24</v>
      </c>
      <c r="B204" s="46" t="s">
        <v>108</v>
      </c>
      <c r="C204" s="46" t="s">
        <v>1</v>
      </c>
      <c r="D204" s="47"/>
      <c r="E204" s="67" t="str">
        <f>IF('National currencies'!E204="","",'National currencies'!E204)</f>
        <v>I.A.2.2.a.1.</v>
      </c>
      <c r="F204" s="66">
        <f>'National currencies'!F204/'Exchange rates'!B4</f>
        <v>1110.4221502328407</v>
      </c>
      <c r="G204" s="66">
        <f>'National currencies'!G204/'Exchange rates'!B4</f>
        <v>1110.4221502328407</v>
      </c>
      <c r="H204" s="66">
        <f>'National currencies'!H204/'Exchange rates'!B4</f>
        <v>1110.4221502328407</v>
      </c>
      <c r="I204" s="48"/>
      <c r="J204" s="48"/>
      <c r="K204" s="61"/>
      <c r="L204" s="220"/>
      <c r="M204" s="62" t="str">
        <f>IF(ISBLANK(L204),"",IF((N2+O2)&gt;0,0,M2))</f>
        <v/>
      </c>
      <c r="N204" s="49"/>
      <c r="O204" s="63"/>
      <c r="P204" s="69" t="str">
        <f>IF(ISBLANK(L204),"",IF(M204=0,0,IF(L204=1,F204+(M204-1)*H204,(F204+(L204-1)*G204)+(H204+(L204-1)*G204)*(M204-1))))</f>
        <v/>
      </c>
      <c r="Q204" s="70"/>
      <c r="R204" s="71"/>
      <c r="S204" s="64" t="str">
        <f>IF(ISBLANK(L204),"",IF(M204=0,"",P204))</f>
        <v/>
      </c>
    </row>
    <row r="205" spans="1:19" x14ac:dyDescent="0.4">
      <c r="A205" s="45" t="s">
        <v>24</v>
      </c>
      <c r="B205" s="46" t="s">
        <v>109</v>
      </c>
      <c r="C205" s="46" t="s">
        <v>1</v>
      </c>
      <c r="D205" s="47"/>
      <c r="E205" s="67" t="str">
        <f>IF('National currencies'!E205="","",'National currencies'!E205)</f>
        <v>I.A.2.2.a.1.</v>
      </c>
      <c r="F205" s="66">
        <f>'National currencies'!F205/'Exchange rates'!B4</f>
        <v>1110.4221502328407</v>
      </c>
      <c r="G205" s="66">
        <f>'National currencies'!G205/'Exchange rates'!B4</f>
        <v>1110.4221502328407</v>
      </c>
      <c r="H205" s="66">
        <f>'National currencies'!H205/'Exchange rates'!B4</f>
        <v>1110.4221502328407</v>
      </c>
      <c r="I205" s="48">
        <f>'National currencies'!I205/'Exchange rates'!B4</f>
        <v>1110.4221502328407</v>
      </c>
      <c r="J205" s="48"/>
      <c r="K205" s="61"/>
      <c r="L205" s="220"/>
      <c r="M205" s="62" t="str">
        <f>IF(ISBLANK(L205),"",IF(O2&gt;0,0,IF(N2=0,0,M2)))</f>
        <v/>
      </c>
      <c r="N205" s="49" t="str">
        <f>IF(ISBLANK(L205),"",IF(O2&gt;0,0,N2))</f>
        <v/>
      </c>
      <c r="O205" s="63"/>
      <c r="P205" s="69" t="str">
        <f>IF(ISBLANK(L205),"",IF(M205=0,0,IF(L205=1,H205+(M205-1)*H205,(H205+(L205-1)*G204)+(H205+(L205-1)*G204)*(M205-1))))</f>
        <v/>
      </c>
      <c r="Q205" s="70" t="str">
        <f>IF(ISBLANK(L205),"",IF(N205=0,0,IF(L205=1,F205+(N205-1)*I205,(F205+(L205-1)*G205)+(I205+(L205-1)*G205)*(N205-1))))</f>
        <v/>
      </c>
      <c r="R205" s="71"/>
      <c r="S205" s="64" t="str">
        <f>IF(ISBLANK(L205),"",IF(N205=0,"",P205+Q205))</f>
        <v/>
      </c>
    </row>
    <row r="206" spans="1:19" x14ac:dyDescent="0.4">
      <c r="A206" s="45" t="s">
        <v>24</v>
      </c>
      <c r="B206" s="46" t="s">
        <v>110</v>
      </c>
      <c r="C206" s="46" t="s">
        <v>1</v>
      </c>
      <c r="D206" s="47"/>
      <c r="E206" s="67" t="str">
        <f>IF('National currencies'!E206="","",'National currencies'!E206)</f>
        <v>I.A.2.2.b.1.</v>
      </c>
      <c r="F206" s="66">
        <f>'National currencies'!F206/'Exchange rates'!B4</f>
        <v>1554.5910103259769</v>
      </c>
      <c r="G206" s="66">
        <f>'National currencies'!G206/'Exchange rates'!B4</f>
        <v>1554.5910103259769</v>
      </c>
      <c r="H206" s="66">
        <f>'National currencies'!H206/'Exchange rates'!B4</f>
        <v>1110.4221502328407</v>
      </c>
      <c r="I206" s="48">
        <f>'National currencies'!I206/'Exchange rates'!B4</f>
        <v>1110.4221502328407</v>
      </c>
      <c r="J206" s="48">
        <f>'National currencies'!J206/'Exchange rates'!B4</f>
        <v>1554.5910103259769</v>
      </c>
      <c r="K206" s="61"/>
      <c r="L206" s="220"/>
      <c r="M206" s="62" t="str">
        <f>IF(ISBLANK(L206),"",IF(O2=0,0,M2))</f>
        <v/>
      </c>
      <c r="N206" s="49" t="str">
        <f>IF(ISBLANK(L206),"",IF(O2=0,0,N2))</f>
        <v/>
      </c>
      <c r="O206" s="63" t="str">
        <f>IF(ISBLANK(L206),"",O2)</f>
        <v/>
      </c>
      <c r="P206" s="69" t="str">
        <f>IF(ISBLANK(L206),"",IF(M206=0,0,IF(L206=1,H206+(M206-1)*H206,(H206+(L206-1)*G204)+(H206+(L206-1)*G204)*(M206-1))))</f>
        <v/>
      </c>
      <c r="Q206" s="70" t="str">
        <f>IF(ISBLANK(L206),"",IF(N206=0,0,IF(L206=1,I206+(N206-1)*I206,(I206+(L206-1)*G205)+(I206+(L206-1)*G205)*(N206-1))))</f>
        <v/>
      </c>
      <c r="R206" s="71" t="str">
        <f>IF(ISBLANK(L206),"",IF(O206=0,0,IF(L206=1,F206+(O206-1)*J206,(F206+(L206-1)*G206)+(J206+(L206-1)*G206)*(O206-1))))</f>
        <v/>
      </c>
      <c r="S206" s="64" t="str">
        <f>IF(ISBLANK(L206),"",IF(O206=0,"",P206+Q206+R206))</f>
        <v/>
      </c>
    </row>
    <row r="207" spans="1:19" x14ac:dyDescent="0.4">
      <c r="A207" s="45" t="s">
        <v>24</v>
      </c>
      <c r="B207" s="46" t="s">
        <v>108</v>
      </c>
      <c r="C207" s="46" t="s">
        <v>2</v>
      </c>
      <c r="D207" s="47"/>
      <c r="E207" s="67" t="str">
        <f>IF('National currencies'!E207="","",'National currencies'!E207)</f>
        <v>I.A.2.2.a.2.</v>
      </c>
      <c r="F207" s="66">
        <f>'National currencies'!F207/'Exchange rates'!B4</f>
        <v>799.50394816764526</v>
      </c>
      <c r="G207" s="66">
        <f>'National currencies'!G207/'Exchange rates'!B4</f>
        <v>799.50394816764526</v>
      </c>
      <c r="H207" s="66">
        <f>'National currencies'!H207/'Exchange rates'!B4</f>
        <v>799.50394816764526</v>
      </c>
      <c r="I207" s="48"/>
      <c r="J207" s="48"/>
      <c r="K207" s="61"/>
      <c r="L207" s="220"/>
      <c r="M207" s="62" t="str">
        <f>IF(ISBLANK(L207),"",IF((N2+O2)&gt;0,0,M2))</f>
        <v/>
      </c>
      <c r="N207" s="49"/>
      <c r="O207" s="63"/>
      <c r="P207" s="69" t="str">
        <f>IF(ISBLANK(L207),"",IF(M207=0,0,IF(L207=1,F207+(M207-1)*H207,(F207+(L207-1)*G207)+(H207+(L207-1)*G207)*(M207-1))))</f>
        <v/>
      </c>
      <c r="Q207" s="70"/>
      <c r="R207" s="71"/>
      <c r="S207" s="64" t="str">
        <f>IF(ISBLANK(L207),"",IF(M207=0,"",P207))</f>
        <v/>
      </c>
    </row>
    <row r="208" spans="1:19" x14ac:dyDescent="0.4">
      <c r="A208" s="45" t="s">
        <v>24</v>
      </c>
      <c r="B208" s="46" t="s">
        <v>109</v>
      </c>
      <c r="C208" s="46" t="s">
        <v>2</v>
      </c>
      <c r="D208" s="47"/>
      <c r="E208" s="67" t="str">
        <f>IF('National currencies'!E208="","",'National currencies'!E208)</f>
        <v>I.A.2.2.a.2.</v>
      </c>
      <c r="F208" s="66">
        <f>'National currencies'!F208/'Exchange rates'!B4</f>
        <v>799.50394816764526</v>
      </c>
      <c r="G208" s="66">
        <f>'National currencies'!G208/'Exchange rates'!B4</f>
        <v>799.50394816764526</v>
      </c>
      <c r="H208" s="66">
        <f>'National currencies'!H208/'Exchange rates'!B4</f>
        <v>799.50394816764526</v>
      </c>
      <c r="I208" s="48">
        <f>'National currencies'!I208/'Exchange rates'!B4</f>
        <v>799.50394816764526</v>
      </c>
      <c r="J208" s="48"/>
      <c r="K208" s="61"/>
      <c r="L208" s="220"/>
      <c r="M208" s="62" t="str">
        <f>IF(ISBLANK(L208),"",IF(O2&gt;0,0,IF(N2=0,0,M2)))</f>
        <v/>
      </c>
      <c r="N208" s="49" t="str">
        <f>IF(ISBLANK(L208),"",IF(O2&gt;0,0,N2))</f>
        <v/>
      </c>
      <c r="O208" s="63"/>
      <c r="P208" s="69" t="str">
        <f>IF(ISBLANK(L208),"",IF(M208=0,0,IF(L208=1,H208+(M208-1)*H208,(H208+(L208-1)*G207)+(H208+(L208-1)*G207)*(M208-1))))</f>
        <v/>
      </c>
      <c r="Q208" s="70" t="str">
        <f>IF(ISBLANK(L208),"",IF(N208=0,0,IF(L208=1,F208+(N208-1)*I208,(F208+(L208-1)*G208)+(I208+(L208-1)*G208)*(N208-1))))</f>
        <v/>
      </c>
      <c r="R208" s="71"/>
      <c r="S208" s="64" t="str">
        <f>IF(ISBLANK(L208),"",IF(N208=0,"",P208+Q208))</f>
        <v/>
      </c>
    </row>
    <row r="209" spans="1:19" x14ac:dyDescent="0.4">
      <c r="A209" s="45" t="s">
        <v>24</v>
      </c>
      <c r="B209" s="46" t="s">
        <v>110</v>
      </c>
      <c r="C209" s="46" t="s">
        <v>2</v>
      </c>
      <c r="D209" s="47"/>
      <c r="E209" s="67" t="str">
        <f>IF('National currencies'!E209="","",'National currencies'!E209)</f>
        <v>I.A.2.2.b.2.</v>
      </c>
      <c r="F209" s="66">
        <f>'National currencies'!F209/'Exchange rates'!B4</f>
        <v>1199.2559222514678</v>
      </c>
      <c r="G209" s="66">
        <f>'National currencies'!G209/'Exchange rates'!B4</f>
        <v>1199.2559222514678</v>
      </c>
      <c r="H209" s="66">
        <f>'National currencies'!H209/'Exchange rates'!B4</f>
        <v>799.50394816764526</v>
      </c>
      <c r="I209" s="48">
        <f>'National currencies'!I209/'Exchange rates'!B4</f>
        <v>799.50394816764526</v>
      </c>
      <c r="J209" s="48">
        <f>'National currencies'!J209/'Exchange rates'!B4</f>
        <v>1199.2559222514678</v>
      </c>
      <c r="K209" s="61"/>
      <c r="L209" s="220"/>
      <c r="M209" s="62" t="str">
        <f>IF(ISBLANK(L209),"",IF(O2=0,0,M2))</f>
        <v/>
      </c>
      <c r="N209" s="49" t="str">
        <f>IF(ISBLANK(L209),"",IF(O2=0,0,N2))</f>
        <v/>
      </c>
      <c r="O209" s="63" t="str">
        <f>IF(ISBLANK(L209),"",O2)</f>
        <v/>
      </c>
      <c r="P209" s="69" t="str">
        <f>IF(ISBLANK(L209),"",IF(M209=0,0,IF(L209=1,H209+(M209-1)*H209,(H209+(L209-1)*G207)+(H209+(L209-1)*G207)*(M209-1))))</f>
        <v/>
      </c>
      <c r="Q209" s="70" t="str">
        <f>IF(ISBLANK(L209),"",IF(N209=0,0,IF(L209=1,I209+(N209-1)*I209,(I209+(L209-1)*G208)+(I209+(L209-1)*G208)*(N209-1))))</f>
        <v/>
      </c>
      <c r="R209" s="71" t="str">
        <f>IF(ISBLANK(L209),"",IF(O209=0,0,IF(L209=1,F209+(O209-1)*J209,(F209+(L209-1)*G209)+(J209+(L209-1)*G209)*(O209-1))))</f>
        <v/>
      </c>
      <c r="S209" s="64" t="str">
        <f>IF(ISBLANK(L209),"",IF(O209=0,"",P209+Q209+R209))</f>
        <v/>
      </c>
    </row>
    <row r="210" spans="1:19" x14ac:dyDescent="0.4">
      <c r="A210" s="45" t="s">
        <v>24</v>
      </c>
      <c r="B210" s="46" t="s">
        <v>108</v>
      </c>
      <c r="C210" s="46" t="s">
        <v>0</v>
      </c>
      <c r="D210" s="47"/>
      <c r="E210" s="67" t="str">
        <f>IF('National currencies'!E210="","",'National currencies'!E210)</f>
        <v>I.A.2.1.a.</v>
      </c>
      <c r="F210" s="66">
        <f>'National currencies'!F210/'Exchange rates'!B4</f>
        <v>799.50394816764526</v>
      </c>
      <c r="G210" s="66">
        <f>'National currencies'!G210/'Exchange rates'!B4</f>
        <v>799.50394816764526</v>
      </c>
      <c r="H210" s="66">
        <f>'National currencies'!H210/'Exchange rates'!B4</f>
        <v>799.50394816764526</v>
      </c>
      <c r="I210" s="48"/>
      <c r="J210" s="48"/>
      <c r="K210" s="61"/>
      <c r="L210" s="220"/>
      <c r="M210" s="62" t="str">
        <f>IF(ISBLANK(L210),"",IF((N2+O2)&gt;0,0,M2))</f>
        <v/>
      </c>
      <c r="N210" s="49"/>
      <c r="O210" s="63"/>
      <c r="P210" s="69" t="str">
        <f>IF(ISBLANK(L210),"",IF(M210=0,0,IF(L210=1,F210+(M210-1)*H210,(F210+(L210-1)*G210)+(H210+(L210-1)*G210)*(M210-1))))</f>
        <v/>
      </c>
      <c r="Q210" s="70"/>
      <c r="R210" s="71"/>
      <c r="S210" s="64" t="str">
        <f>IF(ISBLANK(L210),"",IF(M210=0,"",P210))</f>
        <v/>
      </c>
    </row>
    <row r="211" spans="1:19" x14ac:dyDescent="0.4">
      <c r="A211" s="45" t="s">
        <v>24</v>
      </c>
      <c r="B211" s="46" t="s">
        <v>109</v>
      </c>
      <c r="C211" s="46" t="s">
        <v>0</v>
      </c>
      <c r="D211" s="47"/>
      <c r="E211" s="67" t="str">
        <f>IF('National currencies'!E211="","",'National currencies'!E211)</f>
        <v>I.A.2.1.a.</v>
      </c>
      <c r="F211" s="66">
        <f>'National currencies'!F211/'Exchange rates'!B4</f>
        <v>799.50394816764526</v>
      </c>
      <c r="G211" s="66">
        <f>'National currencies'!G211/'Exchange rates'!B4</f>
        <v>799.50394816764526</v>
      </c>
      <c r="H211" s="66">
        <f>'National currencies'!H211/'Exchange rates'!B4</f>
        <v>799.50394816764526</v>
      </c>
      <c r="I211" s="48">
        <f>'National currencies'!I211/'Exchange rates'!B4</f>
        <v>799.50394816764526</v>
      </c>
      <c r="J211" s="48"/>
      <c r="K211" s="61"/>
      <c r="L211" s="220"/>
      <c r="M211" s="62" t="str">
        <f>IF(ISBLANK(L211),"",IF(O2&gt;0,0,IF(N2=0,0,M2)))</f>
        <v/>
      </c>
      <c r="N211" s="49" t="str">
        <f>IF(ISBLANK(L211),"",IF(O2&gt;0,0,N2))</f>
        <v/>
      </c>
      <c r="O211" s="63"/>
      <c r="P211" s="69" t="str">
        <f>IF(ISBLANK(L211),"",IF(M211=0,0,IF(L211=1,H211+(M211-1)*H211,(H211+(L211-1)*G210)+(H211+(L211-1)*G210)*(M211-1))))</f>
        <v/>
      </c>
      <c r="Q211" s="70" t="str">
        <f>IF(ISBLANK(L211),"",IF(N211=0,0,IF(L211=1,F211+(N211-1)*I211,(F211+(L211-1)*G211)+(I211+(L211-1)*G211)*(N211-1))))</f>
        <v/>
      </c>
      <c r="R211" s="71"/>
      <c r="S211" s="64" t="str">
        <f>IF(ISBLANK(L211),"",IF(N211=0,"",P211+Q211))</f>
        <v/>
      </c>
    </row>
    <row r="212" spans="1:19" x14ac:dyDescent="0.4">
      <c r="A212" s="45" t="s">
        <v>24</v>
      </c>
      <c r="B212" s="46" t="s">
        <v>110</v>
      </c>
      <c r="C212" s="46" t="s">
        <v>0</v>
      </c>
      <c r="D212" s="47"/>
      <c r="E212" s="67" t="str">
        <f>IF('National currencies'!E212="","",'National currencies'!E212)</f>
        <v>I.A.2.1.b.</v>
      </c>
      <c r="F212" s="66">
        <f>'National currencies'!F212/'Exchange rates'!B4</f>
        <v>1199.2559222514678</v>
      </c>
      <c r="G212" s="66">
        <f>'National currencies'!G212/'Exchange rates'!B4</f>
        <v>1199.2559222514678</v>
      </c>
      <c r="H212" s="66">
        <f>'National currencies'!H212/'Exchange rates'!B4</f>
        <v>799.50394816764526</v>
      </c>
      <c r="I212" s="48">
        <f>'National currencies'!I212/'Exchange rates'!B4</f>
        <v>799.50394816764526</v>
      </c>
      <c r="J212" s="48">
        <f>'National currencies'!J212/'Exchange rates'!B4</f>
        <v>1199.2559222514678</v>
      </c>
      <c r="K212" s="61"/>
      <c r="L212" s="220"/>
      <c r="M212" s="62" t="str">
        <f>IF(ISBLANK(L212),"",IF(O2=0,0,M2))</f>
        <v/>
      </c>
      <c r="N212" s="49" t="str">
        <f>IF(ISBLANK(L212),"",IF(O2=0,0,N2))</f>
        <v/>
      </c>
      <c r="O212" s="63" t="str">
        <f>IF(ISBLANK(L212),"",O2)</f>
        <v/>
      </c>
      <c r="P212" s="69" t="str">
        <f>IF(ISBLANK(L212),"",IF(M212=0,0,IF(L212=1,H212+(M212-1)*H212,(H212+(L212-1)*G210)+(H212+(L212-1)*G210)*(M212-1))))</f>
        <v/>
      </c>
      <c r="Q212" s="70" t="str">
        <f>IF(ISBLANK(L212),"",IF(N212=0,0,IF(L212=1,I212+(N212-1)*I212,(I212+(L212-1)*G211)+(I212+(L212-1)*G211)*(N212-1))))</f>
        <v/>
      </c>
      <c r="R212" s="71" t="str">
        <f>IF(ISBLANK(L212),"",IF(O212=0,0,IF(L212=1,F212+(O212-1)*J212,(F212+(L212-1)*G212)+(J212+(L212-1)*G212)*(O212-1))))</f>
        <v/>
      </c>
      <c r="S212" s="64" t="str">
        <f>IF(ISBLANK(L212),"",IF(O212=0,"",P212+Q212+R212))</f>
        <v/>
      </c>
    </row>
    <row r="213" spans="1:19" x14ac:dyDescent="0.4">
      <c r="A213" s="45" t="s">
        <v>28</v>
      </c>
      <c r="B213" s="46" t="s">
        <v>108</v>
      </c>
      <c r="C213" s="46" t="s">
        <v>1</v>
      </c>
      <c r="D213" s="51" t="str">
        <f>Tabelle4[[#This Row],[Special cases / Comments]]</f>
        <v>incl. 335 € RMS supplement</v>
      </c>
      <c r="E213" s="67">
        <f>IF('National currencies'!E213="","",'National currencies'!E213)</f>
        <v>208</v>
      </c>
      <c r="F213" s="66">
        <f>'National currencies'!F213</f>
        <v>335</v>
      </c>
      <c r="G213" s="65">
        <f>'National currencies'!G213</f>
        <v>0</v>
      </c>
      <c r="H213" s="66">
        <f>'National currencies'!H213</f>
        <v>335</v>
      </c>
      <c r="I213" s="48"/>
      <c r="J213" s="48"/>
      <c r="K213" s="61"/>
      <c r="L213" s="220"/>
      <c r="M213" s="62" t="str">
        <f>IF(ISBLANK(L213),"",IF((N2+O2)&gt;0,0,M2))</f>
        <v/>
      </c>
      <c r="N213" s="49"/>
      <c r="O213" s="63"/>
      <c r="P213" s="69" t="str">
        <f>IF(ISBLANK(L213),"",(F213+(L213-1)*G213)+(H213+(L213-1)*G213)*(M213-1))</f>
        <v/>
      </c>
      <c r="Q213" s="70"/>
      <c r="R213" s="71"/>
      <c r="S213" s="64" t="str">
        <f>IF(ISBLANK(L213),"",IF(M213=0,"",IF(L213=1,IF(P213&gt;4150,4150,P213),IF(P213&gt;6425,6425,P213))))</f>
        <v/>
      </c>
    </row>
    <row r="214" spans="1:19" x14ac:dyDescent="0.4">
      <c r="A214" s="45" t="s">
        <v>28</v>
      </c>
      <c r="B214" s="46" t="s">
        <v>109</v>
      </c>
      <c r="C214" s="46" t="s">
        <v>1</v>
      </c>
      <c r="D214" s="51" t="str">
        <f>Tabelle4[[#This Row],[Special cases / Comments]]</f>
        <v>incl. 460 € RMS supplement</v>
      </c>
      <c r="E214" s="67" t="str">
        <f>IF('National currencies'!E214="","",'National currencies'!E214)</f>
        <v>211/213/236/245</v>
      </c>
      <c r="F214" s="66">
        <f>'National currencies'!F214</f>
        <v>1085</v>
      </c>
      <c r="G214" s="65">
        <f>'National currencies'!G214</f>
        <v>1085</v>
      </c>
      <c r="H214" s="66">
        <f>'National currencies'!H214</f>
        <v>335</v>
      </c>
      <c r="I214" s="48">
        <f>'National currencies'!I214</f>
        <v>1085</v>
      </c>
      <c r="J214" s="48"/>
      <c r="K214" s="61"/>
      <c r="L214" s="220"/>
      <c r="M214" s="62" t="str">
        <f>IF(ISBLANK(L214),"",IF(O2&gt;0,0,IF(N2=0,0,M2)))</f>
        <v/>
      </c>
      <c r="N214" s="49" t="str">
        <f>IF(ISBLANK(L214),"",IF(O2&gt;0,0,N2))</f>
        <v/>
      </c>
      <c r="O214" s="63"/>
      <c r="P214" s="69" t="str">
        <f>IF(ISBLANK(L214),"",(H214+(L214-1)*G213)+(H214+(L214-1)*G213)*(M214-1))</f>
        <v/>
      </c>
      <c r="Q214" s="70" t="str">
        <f>IF(ISBLANK(L214),"",IF(L214=1,F225*N214,IF(L214&gt;2,((F225*2+(L214-2)*F226)*N214),F225*2*N214)))</f>
        <v/>
      </c>
      <c r="R214" s="71"/>
      <c r="S214" s="64" t="str">
        <f>IF(ISBLANK(L214),"",IF(N214=0,"",IF(L214=1,IF((P214+Q214)&gt;4150,4150,P214+Q214+390),IF((P214+Q214)&gt;6425,6425,P214+Q214+390))))</f>
        <v/>
      </c>
    </row>
    <row r="215" spans="1:19" x14ac:dyDescent="0.4">
      <c r="A215" s="45" t="s">
        <v>28</v>
      </c>
      <c r="B215" s="46" t="s">
        <v>110</v>
      </c>
      <c r="C215" s="46" t="s">
        <v>1</v>
      </c>
      <c r="D215" s="51" t="str">
        <f>Tabelle4[[#This Row],[Special cases / Comments]]</f>
        <v>standard (incl. 490 € RMS supplement)</v>
      </c>
      <c r="E215" s="67">
        <f>IF('National currencies'!E215="","",'National currencies'!E215)</f>
        <v>205</v>
      </c>
      <c r="F215" s="66">
        <f>'National currencies'!F215</f>
        <v>1165</v>
      </c>
      <c r="G215" s="65">
        <f>'National currencies'!G215</f>
        <v>1165</v>
      </c>
      <c r="H215" s="66">
        <f>'National currencies'!H215</f>
        <v>335</v>
      </c>
      <c r="I215" s="48">
        <f>'National currencies'!I215</f>
        <v>1085</v>
      </c>
      <c r="J215" s="48">
        <f>'National currencies'!J215</f>
        <v>1165</v>
      </c>
      <c r="K215" s="61"/>
      <c r="L215" s="220"/>
      <c r="M215" s="62" t="str">
        <f>IF(ISBLANK(L215),"",IF(O2=0,0,M2))</f>
        <v/>
      </c>
      <c r="N215" s="49" t="str">
        <f>IF(ISBLANK(L215),"",IF(O2=0,0,N2))</f>
        <v/>
      </c>
      <c r="O215" s="63" t="str">
        <f>IF(ISBLANK(L215),"",O2)</f>
        <v/>
      </c>
      <c r="P215" s="69" t="str">
        <f>IF(ISBLANK(L215),"",(H215+(L215-1)*G213)+(H215+(L215-1)*G213)*(M215-1))</f>
        <v/>
      </c>
      <c r="Q215" s="70" t="str">
        <f>IF(ISBLANK(L215),"",IF(L215=1,F225*N215,IF(L215&gt;2,((F225*2+(L215-2)*F226)*N215),F225*2*N215)))</f>
        <v/>
      </c>
      <c r="R215" s="71" t="str">
        <f>IF(ISBLANK(L215),"",IF(L215=1,F227*O215,IF(L215&gt;2,((F227*2+(L215-2)*F228)*O215),F227*2*O215)))</f>
        <v/>
      </c>
      <c r="S215" s="64" t="str">
        <f>IF(ISBLANK(L215),"",IF(O215=0,"",IF(L215=1,IF((P215+Q215+R215)&gt;4150,4150,P215+Q215+R215+380),IF((P215+Q215+R215)&gt;6425,6425,P215+Q215+R215+380))))</f>
        <v/>
      </c>
    </row>
    <row r="216" spans="1:19" x14ac:dyDescent="0.4">
      <c r="A216" s="45" t="s">
        <v>28</v>
      </c>
      <c r="B216" s="46" t="s">
        <v>110</v>
      </c>
      <c r="C216" s="46" t="s">
        <v>1</v>
      </c>
      <c r="D216" s="51" t="str">
        <f>Tabelle4[[#This Row],[Special cases / Comments]]</f>
        <v>complex (incl. 705 € RMS supplement)</v>
      </c>
      <c r="E216" s="67">
        <f>IF('National currencies'!E216="","",'National currencies'!E216)</f>
        <v>219</v>
      </c>
      <c r="F216" s="66">
        <f>'National currencies'!F216</f>
        <v>4185</v>
      </c>
      <c r="G216" s="65">
        <f>'National currencies'!G216</f>
        <v>0</v>
      </c>
      <c r="H216" s="66">
        <f>'National currencies'!H216</f>
        <v>335</v>
      </c>
      <c r="I216" s="48">
        <f>'National currencies'!I216</f>
        <v>1085</v>
      </c>
      <c r="J216" s="48">
        <f>'National currencies'!J216</f>
        <v>4185</v>
      </c>
      <c r="K216" s="61"/>
      <c r="L216" s="220"/>
      <c r="M216" s="62" t="str">
        <f>IF(ISBLANK(L216),"",IF(O2=0,0,M2))</f>
        <v/>
      </c>
      <c r="N216" s="49" t="str">
        <f>IF(ISBLANK(L216),"",IF(O2=0,0,N2))</f>
        <v/>
      </c>
      <c r="O216" s="63" t="str">
        <f>IF(ISBLANK(L216),"",O2)</f>
        <v/>
      </c>
      <c r="P216" s="69" t="str">
        <f>IF(ISBLANK(L216),"",(H216+(L216-1)*G213)+(H216+(L216-1)*G213)*(M216-1))</f>
        <v/>
      </c>
      <c r="Q216" s="70" t="str">
        <f>IF(ISBLANK(L216),"",IF(L216=1,F225*N216,IF(L216&gt;2,((F225*2+(L216-2)*F226)*N216),F225*2*N216)))</f>
        <v/>
      </c>
      <c r="R216" s="71" t="str">
        <f>IF(ISBLANK(L216),"",IF(L216=1,F229*O216,IF(L216&gt;2,((F229*2+(L216-2)*F230)*O216),F229*2*O216)))</f>
        <v/>
      </c>
      <c r="S216" s="64" t="str">
        <f>IF(ISBLANK(L216),"",IF(O216=0,"",IF(L216=1,IF((P216+Q216+R216)&gt;4150,4150,P216+Q216+R216+590),IF((P216+Q216+R216)&gt;6425,6425,P216+Q216+R216+590))))</f>
        <v/>
      </c>
    </row>
    <row r="217" spans="1:19" x14ac:dyDescent="0.4">
      <c r="A217" s="45" t="s">
        <v>28</v>
      </c>
      <c r="B217" s="46" t="s">
        <v>108</v>
      </c>
      <c r="C217" s="46" t="s">
        <v>2</v>
      </c>
      <c r="D217" s="51"/>
      <c r="E217" s="67" t="str">
        <f>IF('National currencies'!E217="","",'National currencies'!E217)</f>
        <v/>
      </c>
      <c r="F217" s="66">
        <f>'National currencies'!F217</f>
        <v>0</v>
      </c>
      <c r="G217" s="65">
        <f>'National currencies'!G217</f>
        <v>0</v>
      </c>
      <c r="H217" s="66">
        <f>'National currencies'!H217</f>
        <v>0</v>
      </c>
      <c r="I217" s="48"/>
      <c r="J217" s="48"/>
      <c r="K217" s="61"/>
      <c r="L217" s="220"/>
      <c r="M217" s="62" t="str">
        <f>IF(ISBLANK(L217),"",IF((N2+O2)&gt;0,0,M2))</f>
        <v/>
      </c>
      <c r="N217" s="49"/>
      <c r="O217" s="63"/>
      <c r="P217" s="69" t="str">
        <f>IF(ISBLANK(L217),"",(F217+(L217-1)*G217)+(H217+(L217-1)*G217)*(M217-1))</f>
        <v/>
      </c>
      <c r="Q217" s="70"/>
      <c r="R217" s="71"/>
      <c r="S217" s="64" t="str">
        <f>IF(ISBLANK(L217),"",IF(M217=0,"",IF(L217=1,IF(P217&gt;4150,4150,P217),IF(P217&gt;6425,6425,P217))))</f>
        <v/>
      </c>
    </row>
    <row r="218" spans="1:19" x14ac:dyDescent="0.4">
      <c r="A218" s="45" t="s">
        <v>28</v>
      </c>
      <c r="B218" s="46" t="s">
        <v>109</v>
      </c>
      <c r="C218" s="46" t="s">
        <v>2</v>
      </c>
      <c r="D218" s="51"/>
      <c r="E218" s="67" t="str">
        <f>IF('National currencies'!E218="","",'National currencies'!E218)</f>
        <v>214/236/245</v>
      </c>
      <c r="F218" s="66">
        <f>'National currencies'!F218</f>
        <v>450</v>
      </c>
      <c r="G218" s="65">
        <f>'National currencies'!G218</f>
        <v>450</v>
      </c>
      <c r="H218" s="66">
        <f>'National currencies'!H218</f>
        <v>0</v>
      </c>
      <c r="I218" s="48">
        <f>'National currencies'!I218</f>
        <v>450</v>
      </c>
      <c r="J218" s="48"/>
      <c r="K218" s="61"/>
      <c r="L218" s="220"/>
      <c r="M218" s="62" t="str">
        <f>IF(ISBLANK(L218),"",IF(O2&gt;0,0,IF(N2=0,0,M2)))</f>
        <v/>
      </c>
      <c r="N218" s="49" t="str">
        <f>IF(ISBLANK(L218),"",IF(O2&gt;0,0,N2))</f>
        <v/>
      </c>
      <c r="O218" s="63"/>
      <c r="P218" s="69" t="str">
        <f>IF(ISBLANK(L218),"",(F217+(L218-1)*G217)+(H217+(L218-1)*G217)*(M218-1))</f>
        <v/>
      </c>
      <c r="Q218" s="70" t="str">
        <f>IF(ISBLANK(L218),"",IF(L218=1,F218*N218,IF(L218&gt;2,((F218*2+(L218-2)*F219)*N218),F218*2*N218)))</f>
        <v/>
      </c>
      <c r="R218" s="71"/>
      <c r="S218" s="64" t="str">
        <f>IF(ISBLANK(L218),"",IF(N218=0,"",IF(L218=1,IF(Q218&gt;4150,4150,Q218),IF(Q218&gt;6425,6425,Q218))))</f>
        <v/>
      </c>
    </row>
    <row r="219" spans="1:19" x14ac:dyDescent="0.4">
      <c r="A219" s="45" t="s">
        <v>28</v>
      </c>
      <c r="B219" s="46" t="s">
        <v>109</v>
      </c>
      <c r="C219" s="46" t="s">
        <v>2</v>
      </c>
      <c r="D219" s="54" t="s">
        <v>397</v>
      </c>
      <c r="E219" s="67" t="str">
        <f>IF('National currencies'!E219="","",'National currencies'!E219)</f>
        <v>215</v>
      </c>
      <c r="F219" s="66">
        <f>'National currencies'!F219</f>
        <v>235</v>
      </c>
      <c r="G219" s="65">
        <f>'National currencies'!G219</f>
        <v>0</v>
      </c>
      <c r="H219" s="66">
        <f>'National currencies'!H219</f>
        <v>0</v>
      </c>
      <c r="I219" s="48">
        <f>'National currencies'!I219</f>
        <v>450</v>
      </c>
      <c r="J219" s="48"/>
      <c r="K219" s="61"/>
      <c r="L219" s="220"/>
      <c r="M219" s="62" t="str">
        <f>IF(ISBLANK(L219),"",IF(O2&gt;0,0,IF(N2=0,0,M2)))</f>
        <v/>
      </c>
      <c r="N219" s="49" t="str">
        <f>IF(ISBLANK(L219),"",IF(O2&gt;0,0,N2))</f>
        <v/>
      </c>
      <c r="O219" s="63"/>
      <c r="P219" s="69" t="str">
        <f>IF(ISBLANK(L219),"",(F217+(L219-1)*G217)+(H217+(L219-1)*G217)*(M219-1))</f>
        <v/>
      </c>
      <c r="Q219" s="70" t="str">
        <f>IF(ISBLANK(L219),"",IF(L219=1,F219*N219,IF(L219&gt;2,((F219*2+(L219-2)*F219)*N219),F219*2*N219)))</f>
        <v/>
      </c>
      <c r="R219" s="71"/>
      <c r="S219" s="64" t="str">
        <f>IF(ISBLANK(L219),"",IF(N219=0,"",IF(L219=1,IF(Q219&gt;4150,4150,Q219),IF(Q219&gt;6425,6425,Q219))))</f>
        <v/>
      </c>
    </row>
    <row r="220" spans="1:19" x14ac:dyDescent="0.4">
      <c r="A220" s="45" t="s">
        <v>28</v>
      </c>
      <c r="B220" s="46" t="s">
        <v>110</v>
      </c>
      <c r="C220" s="46" t="s">
        <v>2</v>
      </c>
      <c r="D220" s="51" t="s">
        <v>29</v>
      </c>
      <c r="E220" s="67">
        <f>IF('National currencies'!E220="","",'National currencies'!E220)</f>
        <v>221</v>
      </c>
      <c r="F220" s="66">
        <f>'National currencies'!F220</f>
        <v>450</v>
      </c>
      <c r="G220" s="65">
        <f>'National currencies'!G220</f>
        <v>450</v>
      </c>
      <c r="H220" s="66">
        <f>'National currencies'!H220</f>
        <v>0</v>
      </c>
      <c r="I220" s="48">
        <f>'National currencies'!I220</f>
        <v>450</v>
      </c>
      <c r="J220" s="48">
        <f>'National currencies'!J220</f>
        <v>450</v>
      </c>
      <c r="K220" s="61"/>
      <c r="L220" s="220"/>
      <c r="M220" s="62" t="str">
        <f>IF(ISBLANK(L220),"",IF(O2=0,0,M2))</f>
        <v/>
      </c>
      <c r="N220" s="49" t="str">
        <f>IF(ISBLANK(L220),"",IF(O2=0,0,N2))</f>
        <v/>
      </c>
      <c r="O220" s="63" t="str">
        <f>IF(ISBLANK(L220),"",O2)</f>
        <v/>
      </c>
      <c r="P220" s="69" t="str">
        <f>IF(ISBLANK(L220),"",(F217+(L220-1)*G217)+(H217+(L220-1)*G217)*(M220-1))</f>
        <v/>
      </c>
      <c r="Q220" s="70" t="str">
        <f>IF(ISBLANK(L220),"",IF(L220=1,F218*N220,IF(L220&gt;2,((F218*2+(L220-2)*F219)*N220),F218*2*N220)))</f>
        <v/>
      </c>
      <c r="R220" s="71" t="str">
        <f>IF(ISBLANK(L220),"",IF(L220=1,F220*O220,IF(L220&gt;2,((F220*2+(L220-2)*F221)*O220),F220*2*O220)))</f>
        <v/>
      </c>
      <c r="S220" s="64" t="str">
        <f>IF(ISBLANK(L220),"",IF(O220=0,"",IF(L220=1,IF((Q220+R220)&gt;4150,4150,Q220+R220),IF((Q220+R220)&gt;6425,6425,Q220+R220))))</f>
        <v/>
      </c>
    </row>
    <row r="221" spans="1:19" x14ac:dyDescent="0.4">
      <c r="A221" s="45" t="s">
        <v>28</v>
      </c>
      <c r="B221" s="46" t="s">
        <v>110</v>
      </c>
      <c r="C221" s="46" t="s">
        <v>2</v>
      </c>
      <c r="D221" s="57" t="s">
        <v>318</v>
      </c>
      <c r="E221" s="67" t="str">
        <f>IF('National currencies'!E221="","",'National currencies'!E221)</f>
        <v>222</v>
      </c>
      <c r="F221" s="66">
        <f>'National currencies'!F221</f>
        <v>235</v>
      </c>
      <c r="G221" s="65">
        <f>'National currencies'!G221</f>
        <v>235</v>
      </c>
      <c r="H221" s="66">
        <f>'National currencies'!H221</f>
        <v>0</v>
      </c>
      <c r="I221" s="48">
        <f>'National currencies'!I221</f>
        <v>450</v>
      </c>
      <c r="J221" s="48">
        <f>'National currencies'!J221</f>
        <v>235</v>
      </c>
      <c r="K221" s="61"/>
      <c r="L221" s="220"/>
      <c r="M221" s="62" t="str">
        <f>IF(ISBLANK(L221),"",IF(O2=0,0,M2))</f>
        <v/>
      </c>
      <c r="N221" s="49" t="str">
        <f>IF(ISBLANK(L221),"",IF(O2=0,0,N2))</f>
        <v/>
      </c>
      <c r="O221" s="63" t="str">
        <f>IF(ISBLANK(L221),"",O2)</f>
        <v/>
      </c>
      <c r="P221" s="69" t="str">
        <f>IF(ISBLANK(L221),"",(F217+(L221-1)*G217)+(H217+(L221-1)*G217)*(M221-1))</f>
        <v/>
      </c>
      <c r="Q221" s="70" t="str">
        <f>IF(ISBLANK(L221),"",IF(L221=1,F218*N221,IF(L221&gt;2,((F218*2+(L221-2)*F219)*N221),F218*2*N221)))</f>
        <v/>
      </c>
      <c r="R221" s="71" t="str">
        <f>IF(ISBLANK(L221),"",IF(L221=1,F221*O221,IF(L221&gt;2,((F221*2+(L221-2)*F221)*O221),F221*2*O221)))</f>
        <v/>
      </c>
      <c r="S221" s="64" t="str">
        <f>IF(ISBLANK(L221),"",IF(O221=0,"",IF(L221=1,IF((Q221+R221)&gt;4150,4150,Q221+R221),IF((Q221+R221)&gt;6425,6425,Q221+R221))))</f>
        <v/>
      </c>
    </row>
    <row r="222" spans="1:19" x14ac:dyDescent="0.4">
      <c r="A222" s="45" t="s">
        <v>28</v>
      </c>
      <c r="B222" s="46" t="s">
        <v>110</v>
      </c>
      <c r="C222" s="46" t="s">
        <v>2</v>
      </c>
      <c r="D222" s="57" t="s">
        <v>5</v>
      </c>
      <c r="E222" s="67">
        <f>IF('National currencies'!E222="","",'National currencies'!E222)</f>
        <v>220</v>
      </c>
      <c r="F222" s="66">
        <f>'National currencies'!F222</f>
        <v>2405</v>
      </c>
      <c r="G222" s="65">
        <f>'National currencies'!G222</f>
        <v>2405</v>
      </c>
      <c r="H222" s="66">
        <f>'National currencies'!H222</f>
        <v>0</v>
      </c>
      <c r="I222" s="48">
        <f>'National currencies'!I222</f>
        <v>450</v>
      </c>
      <c r="J222" s="48">
        <f>'National currencies'!J222</f>
        <v>2405</v>
      </c>
      <c r="K222" s="61"/>
      <c r="L222" s="220"/>
      <c r="M222" s="62" t="str">
        <f>IF(ISBLANK(L222),"",IF(O2=0,0,M2))</f>
        <v/>
      </c>
      <c r="N222" s="49" t="str">
        <f>IF(ISBLANK(L222),"",IF(O2=0,0,N2))</f>
        <v/>
      </c>
      <c r="O222" s="63" t="str">
        <f>IF(ISBLANK(L222),"",O2)</f>
        <v/>
      </c>
      <c r="P222" s="69" t="str">
        <f>IF(ISBLANK(L222),"",(F217+(L222-1)*G217)+(H217+(L222-1)*G217)*(M222-1))</f>
        <v/>
      </c>
      <c r="Q222" s="70" t="str">
        <f>IF(ISBLANK(L222),"",IF(L222=1,F218*N222,IF(L222&gt;2,((F218*2+(L222-2)*F219)*N222),F218*2*N222)))</f>
        <v/>
      </c>
      <c r="R222" s="71" t="str">
        <f>IF(ISBLANK(L222),"",IF(L222=1,F222*O222,IF(L222&gt;2,((F222*2+(L222-2)*F223)*O222),F222*2*O222)))</f>
        <v/>
      </c>
      <c r="S222" s="64" t="str">
        <f>IF(ISBLANK(L222),"",IF(O222=0,"",IF(L222=1,IF((Q222+R222)&gt;4150,4150,Q222+R222),IF((Q222+R222)&gt;6425,6425,Q222+R222))))</f>
        <v/>
      </c>
    </row>
    <row r="223" spans="1:19" x14ac:dyDescent="0.4">
      <c r="A223" s="45" t="s">
        <v>28</v>
      </c>
      <c r="B223" s="46" t="s">
        <v>110</v>
      </c>
      <c r="C223" s="46" t="s">
        <v>2</v>
      </c>
      <c r="D223" s="57" t="s">
        <v>319</v>
      </c>
      <c r="E223" s="67" t="str">
        <f>IF('National currencies'!E223="","",'National currencies'!E223)</f>
        <v>238</v>
      </c>
      <c r="F223" s="66">
        <f>'National currencies'!F223</f>
        <v>450</v>
      </c>
      <c r="G223" s="65">
        <f>'National currencies'!G223</f>
        <v>450</v>
      </c>
      <c r="H223" s="66">
        <f>'National currencies'!H223</f>
        <v>0</v>
      </c>
      <c r="I223" s="48">
        <f>'National currencies'!I223</f>
        <v>450</v>
      </c>
      <c r="J223" s="48">
        <f>'National currencies'!J223</f>
        <v>450</v>
      </c>
      <c r="K223" s="61"/>
      <c r="L223" s="220"/>
      <c r="M223" s="62" t="str">
        <f>IF(ISBLANK(L223),"",IF(O2=0,0,M2))</f>
        <v/>
      </c>
      <c r="N223" s="49" t="str">
        <f>IF(ISBLANK(L223),"",IF(O2=0,0,N2))</f>
        <v/>
      </c>
      <c r="O223" s="63" t="str">
        <f>IF(ISBLANK(L223),"",O2)</f>
        <v/>
      </c>
      <c r="P223" s="69" t="str">
        <f>IF(ISBLANK(L223),"",(F217+(L223-1)*G217)+(H217+(L223-1)*G217)*(M223-1))</f>
        <v/>
      </c>
      <c r="Q223" s="70" t="str">
        <f>IF(ISBLANK(L223),"",IF(L223=1,F218*N223,IF(L223&gt;2,((F218*2+(L223-2)*F219)*N223),F218*2*N223)))</f>
        <v/>
      </c>
      <c r="R223" s="71" t="str">
        <f>IF(ISBLANK(L223),"",IF(L223=1,F223*O223,IF(L223&gt;2,((F223*2+(L223-2)*F223)*O223),F223*2*O223)))</f>
        <v/>
      </c>
      <c r="S223" s="64" t="str">
        <f>IF(ISBLANK(L223),"",IF(O223=0,"",IF(L223=1,IF((Q223+R223)&gt;4150,4150,Q223+R223),IF((Q223+R223)&gt;6425,6425,Q223+R223))))</f>
        <v/>
      </c>
    </row>
    <row r="224" spans="1:19" x14ac:dyDescent="0.4">
      <c r="A224" s="45" t="s">
        <v>28</v>
      </c>
      <c r="B224" s="46" t="s">
        <v>108</v>
      </c>
      <c r="C224" s="46" t="s">
        <v>0</v>
      </c>
      <c r="D224" s="51"/>
      <c r="E224" s="67" t="str">
        <f>IF('National currencies'!E224="","",'National currencies'!E224)</f>
        <v/>
      </c>
      <c r="F224" s="66">
        <f>'National currencies'!F224</f>
        <v>0</v>
      </c>
      <c r="G224" s="65">
        <f>'National currencies'!G224</f>
        <v>0</v>
      </c>
      <c r="H224" s="66">
        <f>'National currencies'!H224</f>
        <v>0</v>
      </c>
      <c r="I224" s="48"/>
      <c r="J224" s="48"/>
      <c r="K224" s="61"/>
      <c r="L224" s="220"/>
      <c r="M224" s="62" t="str">
        <f>IF(ISBLANK(L224),"",IF((N2+O2)&gt;0,0,M2))</f>
        <v/>
      </c>
      <c r="N224" s="49"/>
      <c r="O224" s="63"/>
      <c r="P224" s="69" t="str">
        <f>IF(ISBLANK(L224),"",(F224+(L224-1)*G224)+(H224+(L224-1)*G224)*(M224-1))</f>
        <v/>
      </c>
      <c r="Q224" s="70"/>
      <c r="R224" s="71"/>
      <c r="S224" s="64" t="str">
        <f>IF(ISBLANK(L224),"",IF(M224=0,"",IF(L224=1,IF(P224&gt;4150,4150,P224),IF(P224&gt;6425,6425,P224))))</f>
        <v/>
      </c>
    </row>
    <row r="225" spans="1:19" x14ac:dyDescent="0.4">
      <c r="A225" s="45" t="s">
        <v>28</v>
      </c>
      <c r="B225" s="46" t="s">
        <v>109</v>
      </c>
      <c r="C225" s="46" t="s">
        <v>0</v>
      </c>
      <c r="D225" s="51"/>
      <c r="E225" s="67" t="str">
        <f>IF('National currencies'!E225="","",'National currencies'!E225)</f>
        <v>211/236/245</v>
      </c>
      <c r="F225" s="66">
        <f>'National currencies'!F225</f>
        <v>625</v>
      </c>
      <c r="G225" s="65">
        <f>'National currencies'!G225</f>
        <v>625</v>
      </c>
      <c r="H225" s="66">
        <f>'National currencies'!H225</f>
        <v>0</v>
      </c>
      <c r="I225" s="48">
        <f>'National currencies'!I225</f>
        <v>625</v>
      </c>
      <c r="J225" s="48"/>
      <c r="K225" s="61"/>
      <c r="L225" s="220"/>
      <c r="M225" s="62" t="str">
        <f>IF(ISBLANK(L225),"",IF(O2&gt;0,0,IF(N2=0,0,M2)))</f>
        <v/>
      </c>
      <c r="N225" s="49" t="str">
        <f>IF(ISBLANK(L225),"",IF(O2&gt;0,0,N2))</f>
        <v/>
      </c>
      <c r="O225" s="63"/>
      <c r="P225" s="69" t="str">
        <f>IF(ISBLANK(L225),"",(F224+(L225-1)*G224)+(H224+(L225-1)*G224)*(M225-1))</f>
        <v/>
      </c>
      <c r="Q225" s="70" t="str">
        <f>IF(ISBLANK(L225),"",IF(L225=1,F225*N225,IF(L225&gt;2,((F225*2+(L225-2)*F226)*N225),F225*2*N225)))</f>
        <v/>
      </c>
      <c r="R225" s="71"/>
      <c r="S225" s="64" t="str">
        <f>IF(ISBLANK(L225),"",IF(N225=0,"",IF(L225=1,IF(Q225&gt;4150,4150,Q225),IF(Q225&gt;6425,6425,Q225))))</f>
        <v/>
      </c>
    </row>
    <row r="226" spans="1:19" x14ac:dyDescent="0.4">
      <c r="A226" s="45" t="s">
        <v>28</v>
      </c>
      <c r="B226" s="46" t="s">
        <v>109</v>
      </c>
      <c r="C226" s="46" t="s">
        <v>0</v>
      </c>
      <c r="D226" s="58" t="s">
        <v>317</v>
      </c>
      <c r="E226" s="67" t="str">
        <f>IF('National currencies'!E226="","",'National currencies'!E226)</f>
        <v>212</v>
      </c>
      <c r="F226" s="66">
        <f>'National currencies'!F226</f>
        <v>320</v>
      </c>
      <c r="G226" s="65">
        <f>'National currencies'!G226</f>
        <v>0</v>
      </c>
      <c r="H226" s="66">
        <f>'National currencies'!H226</f>
        <v>0</v>
      </c>
      <c r="I226" s="48">
        <f>'National currencies'!I226</f>
        <v>625</v>
      </c>
      <c r="J226" s="48"/>
      <c r="K226" s="61"/>
      <c r="L226" s="220"/>
      <c r="M226" s="62" t="str">
        <f>IF(ISBLANK(L226),"",IF(O2&gt;0,0,IF(N2=0,0,M2)))</f>
        <v/>
      </c>
      <c r="N226" s="49" t="str">
        <f>IF(ISBLANK(L226),"",IF(O2&gt;0,0,N2))</f>
        <v/>
      </c>
      <c r="O226" s="63"/>
      <c r="P226" s="69" t="str">
        <f>IF(ISBLANK(L226),"",(F224+(L226-1)*G224)+(H224+(L226-1)*G224)*(M226-1))</f>
        <v/>
      </c>
      <c r="Q226" s="70" t="str">
        <f>IF(ISBLANK(L226),"",IF(L226=1,F226*N226,IF(L226&gt;2,((F226*2+(L226-2)*F226)*N226),F226*2*N226)))</f>
        <v/>
      </c>
      <c r="R226" s="71"/>
      <c r="S226" s="64" t="str">
        <f>IF(ISBLANK(L226),"",IF(N226=0,"",IF(L226=1,IF(Q226&gt;4150,4150,Q226),IF(Q226&gt;6425,6425,Q226))))</f>
        <v/>
      </c>
    </row>
    <row r="227" spans="1:19" x14ac:dyDescent="0.4">
      <c r="A227" s="45" t="s">
        <v>28</v>
      </c>
      <c r="B227" s="46" t="s">
        <v>110</v>
      </c>
      <c r="C227" s="46" t="s">
        <v>0</v>
      </c>
      <c r="D227" s="51" t="s">
        <v>29</v>
      </c>
      <c r="E227" s="67">
        <f>IF('National currencies'!E227="","",'National currencies'!E227)</f>
        <v>217</v>
      </c>
      <c r="F227" s="66">
        <f>'National currencies'!F227</f>
        <v>675</v>
      </c>
      <c r="G227" s="65">
        <f>'National currencies'!G227</f>
        <v>675</v>
      </c>
      <c r="H227" s="66">
        <f>'National currencies'!H227</f>
        <v>0</v>
      </c>
      <c r="I227" s="48">
        <f>'National currencies'!I227</f>
        <v>625</v>
      </c>
      <c r="J227" s="48">
        <f>'National currencies'!J227</f>
        <v>675</v>
      </c>
      <c r="K227" s="61"/>
      <c r="L227" s="220"/>
      <c r="M227" s="62" t="str">
        <f>IF(ISBLANK(L227),"",IF(O2=0,0,M2))</f>
        <v/>
      </c>
      <c r="N227" s="49" t="str">
        <f>IF(ISBLANK(L227),"",IF(O2=0,0,N2))</f>
        <v/>
      </c>
      <c r="O227" s="63" t="str">
        <f>IF(ISBLANK(L227),"",O2)</f>
        <v/>
      </c>
      <c r="P227" s="69" t="str">
        <f>IF(ISBLANK(L227),"",(F224+(L227-1)*G224)+(H224+(L227-1)*G224)*(M227-1))</f>
        <v/>
      </c>
      <c r="Q227" s="70" t="str">
        <f>IF(ISBLANK(L227),"",IF(L227=1,F225*N227,IF(L227&gt;2,((F225*2+(L227-2)*F226)*N227),F225*2*N227)))</f>
        <v/>
      </c>
      <c r="R227" s="71" t="str">
        <f>IF(ISBLANK(L227),"",IF(L227=1,F227*O227,IF(L227&gt;2,((F227*2+(L227-2)*F228)*O227),F227*2*O227)))</f>
        <v/>
      </c>
      <c r="S227" s="64" t="str">
        <f>IF(ISBLANK(L227),"",IF(O227=0,"",IF(L227=1,IF((Q227+R227)&gt;4150,4150,Q227+R227),IF((Q227+R227)&gt;6425,6425,Q227+R227))))</f>
        <v/>
      </c>
    </row>
    <row r="228" spans="1:19" x14ac:dyDescent="0.4">
      <c r="A228" s="45" t="s">
        <v>28</v>
      </c>
      <c r="B228" s="46" t="s">
        <v>110</v>
      </c>
      <c r="C228" s="46" t="s">
        <v>0</v>
      </c>
      <c r="D228" s="57" t="s">
        <v>318</v>
      </c>
      <c r="E228" s="67" t="str">
        <f>IF('National currencies'!E228="","",'National currencies'!E228)</f>
        <v>218</v>
      </c>
      <c r="F228" s="66">
        <f>'National currencies'!F228</f>
        <v>340</v>
      </c>
      <c r="G228" s="65">
        <f>'National currencies'!G228</f>
        <v>340</v>
      </c>
      <c r="H228" s="66">
        <f>'National currencies'!H228</f>
        <v>0</v>
      </c>
      <c r="I228" s="48">
        <f>'National currencies'!I228</f>
        <v>625</v>
      </c>
      <c r="J228" s="48">
        <f>'National currencies'!J228</f>
        <v>340</v>
      </c>
      <c r="K228" s="61"/>
      <c r="L228" s="220"/>
      <c r="M228" s="62" t="str">
        <f>IF(ISBLANK(L228),"",IF(O2=0,0,M2))</f>
        <v/>
      </c>
      <c r="N228" s="49" t="str">
        <f>IF(ISBLANK(L228),"",IF(O2=0,0,N2))</f>
        <v/>
      </c>
      <c r="O228" s="63" t="str">
        <f>IF(ISBLANK(L228),"",O2)</f>
        <v/>
      </c>
      <c r="P228" s="69" t="str">
        <f>IF(ISBLANK(L228),"",(F224+(L228-1)*G224)+(H224+(L228-1)*G224)*(M228-1))</f>
        <v/>
      </c>
      <c r="Q228" s="70" t="str">
        <f>IF(ISBLANK(L228),"",IF(L228=1,F225*N228,IF(L228&gt;2,((F225*2+(L228-2)*F226)*N228),F225*2*N228)))</f>
        <v/>
      </c>
      <c r="R228" s="71" t="str">
        <f>IF(ISBLANK(L228),"",IF(L228=1,F228*O228,IF(L228&gt;2,((F228*2+(L228-2)*F228)*O228),F228*2*O228)))</f>
        <v/>
      </c>
      <c r="S228" s="64" t="str">
        <f>IF(ISBLANK(L228),"",IF(O228=0,"",IF(L228=1,IF((Q228+R228)&gt;4150,4150,Q228+R228),IF((Q228+R228)&gt;6425,6425,Q228+R228))))</f>
        <v/>
      </c>
    </row>
    <row r="229" spans="1:19" x14ac:dyDescent="0.4">
      <c r="A229" s="45" t="s">
        <v>28</v>
      </c>
      <c r="B229" s="46" t="s">
        <v>110</v>
      </c>
      <c r="C229" s="46" t="s">
        <v>0</v>
      </c>
      <c r="D229" s="57" t="s">
        <v>5</v>
      </c>
      <c r="E229" s="67">
        <f>IF('National currencies'!E229="","",'National currencies'!E229)</f>
        <v>216</v>
      </c>
      <c r="F229" s="66">
        <f>'National currencies'!F229</f>
        <v>3480</v>
      </c>
      <c r="G229" s="65">
        <f>'National currencies'!G229</f>
        <v>3480</v>
      </c>
      <c r="H229" s="66">
        <f>'National currencies'!H229</f>
        <v>0</v>
      </c>
      <c r="I229" s="48">
        <f>'National currencies'!I229</f>
        <v>625</v>
      </c>
      <c r="J229" s="48">
        <f>'National currencies'!J229</f>
        <v>3480</v>
      </c>
      <c r="K229" s="61"/>
      <c r="L229" s="220"/>
      <c r="M229" s="62" t="str">
        <f>IF(ISBLANK(L229),"",IF(O2=0,0,M2))</f>
        <v/>
      </c>
      <c r="N229" s="49" t="str">
        <f>IF(ISBLANK(L229),"",IF(O2=0,0,N2))</f>
        <v/>
      </c>
      <c r="O229" s="63" t="str">
        <f>IF(ISBLANK(L229),"",O2)</f>
        <v/>
      </c>
      <c r="P229" s="69" t="str">
        <f>IF(ISBLANK(L229),"",(F224+(L229-1)*G224)+(H224+(L229-1)*G224)*(M229-1))</f>
        <v/>
      </c>
      <c r="Q229" s="70" t="str">
        <f>IF(ISBLANK(L229),"",IF(L229=1,F225*N229,IF(L229&gt;2,((F225*2+(L229-2)*F226)*N229),F225*2*N229)))</f>
        <v/>
      </c>
      <c r="R229" s="71" t="str">
        <f>IF(ISBLANK(L229),"",IF(L229=1,F229*O229,IF(L229&gt;2,((F229*2+(L229-2)*F230)*O229),F229*2*O229)))</f>
        <v/>
      </c>
      <c r="S229" s="64" t="str">
        <f>IF(ISBLANK(L229),"",IF(O229=0,"",IF(L229=1,IF((Q229+R229)&gt;4150,4150,Q229+R229),IF((Q229+R229)&gt;6425,6425,Q229+R229))))</f>
        <v/>
      </c>
    </row>
    <row r="230" spans="1:19" x14ac:dyDescent="0.4">
      <c r="A230" s="45" t="s">
        <v>28</v>
      </c>
      <c r="B230" s="46" t="s">
        <v>110</v>
      </c>
      <c r="C230" s="46" t="s">
        <v>0</v>
      </c>
      <c r="D230" s="57" t="s">
        <v>319</v>
      </c>
      <c r="E230" s="67" t="str">
        <f>IF('National currencies'!E230="","",'National currencies'!E230)</f>
        <v>235</v>
      </c>
      <c r="F230" s="66">
        <f>'National currencies'!F230</f>
        <v>675</v>
      </c>
      <c r="G230" s="65">
        <f>'National currencies'!G230</f>
        <v>675</v>
      </c>
      <c r="H230" s="66">
        <f>'National currencies'!H230</f>
        <v>0</v>
      </c>
      <c r="I230" s="48">
        <f>'National currencies'!I230</f>
        <v>625</v>
      </c>
      <c r="J230" s="48">
        <f>'National currencies'!J230</f>
        <v>675</v>
      </c>
      <c r="K230" s="61"/>
      <c r="L230" s="220"/>
      <c r="M230" s="62" t="str">
        <f>IF(ISBLANK(L230),"",IF(O2=0,0,M2))</f>
        <v/>
      </c>
      <c r="N230" s="49" t="str">
        <f>IF(ISBLANK(L230),"",IF(O2=0,0,N2))</f>
        <v/>
      </c>
      <c r="O230" s="63" t="str">
        <f>IF(ISBLANK(L230),"",O2)</f>
        <v/>
      </c>
      <c r="P230" s="69" t="str">
        <f>IF(ISBLANK(L230),"",(F224+(L230-1)*G224)+(H224+(L230-1)*G224)*(M230-1))</f>
        <v/>
      </c>
      <c r="Q230" s="70" t="str">
        <f>IF(ISBLANK(L230),"",IF(L230=1,F225*N230,IF(L230&gt;2,((F225*2+(L230-2)*F226)*N230),F225*2*N230)))</f>
        <v/>
      </c>
      <c r="R230" s="71" t="str">
        <f>IF(ISBLANK(L230),"",IF(L230=1,F230*O230,IF(L230&gt;2,((F230*2+(L230-2)*F230)*O230),F230*2*O230)))</f>
        <v/>
      </c>
      <c r="S230" s="64" t="str">
        <f>IF(ISBLANK(L230),"",IF(O230=0,"",IF(L230=1,IF((Q230+R230)&gt;4150,4150,Q230+R230),IF((Q230+R230)&gt;6425,6425,Q230+R230))))</f>
        <v/>
      </c>
    </row>
    <row r="231" spans="1:19" x14ac:dyDescent="0.4">
      <c r="A231" s="45" t="s">
        <v>25</v>
      </c>
      <c r="B231" s="46" t="s">
        <v>108</v>
      </c>
      <c r="C231" s="46" t="s">
        <v>1</v>
      </c>
      <c r="D231" s="47"/>
      <c r="E231" s="67" t="str">
        <f>IF('National currencies'!E231="","",'National currencies'!E231)</f>
        <v>1.9</v>
      </c>
      <c r="F231" s="66">
        <f>'National currencies'!F231/'Exchange rates'!B5</f>
        <v>402.05266158861974</v>
      </c>
      <c r="G231" s="66">
        <f>'National currencies'!G231/'Exchange rates'!B5</f>
        <v>402.05266158861974</v>
      </c>
      <c r="H231" s="66">
        <f>'National currencies'!H231/'Exchange rates'!B5</f>
        <v>402.05266158861974</v>
      </c>
      <c r="I231" s="48"/>
      <c r="J231" s="48"/>
      <c r="K231" s="61"/>
      <c r="L231" s="220"/>
      <c r="M231" s="62" t="str">
        <f>IF(ISBLANK(L231),"",IF((N2+O2)&gt;0,0,M2))</f>
        <v/>
      </c>
      <c r="N231" s="49"/>
      <c r="O231" s="63"/>
      <c r="P231" s="69" t="str">
        <f>IF(ISBLANK(L231),"",IF(M231=0,0,IF(L231=1,F231+(M231-1)*H231,(F231+(L231-1)*G231)+(H231+(L231-1)*G231)*(M231-1))))</f>
        <v/>
      </c>
      <c r="Q231" s="70"/>
      <c r="R231" s="71"/>
      <c r="S231" s="64" t="str">
        <f>IF(ISBLANK(L231),"",IF(M231=0,"",P231))</f>
        <v/>
      </c>
    </row>
    <row r="232" spans="1:19" x14ac:dyDescent="0.4">
      <c r="A232" s="45" t="s">
        <v>25</v>
      </c>
      <c r="B232" s="46" t="s">
        <v>109</v>
      </c>
      <c r="C232" s="46" t="s">
        <v>1</v>
      </c>
      <c r="D232" s="47"/>
      <c r="E232" s="67" t="str">
        <f>IF('National currencies'!E232="","",'National currencies'!E232)</f>
        <v>1.10</v>
      </c>
      <c r="F232" s="66">
        <f>'National currencies'!F232/'Exchange rates'!B5</f>
        <v>601.35492436582581</v>
      </c>
      <c r="G232" s="66">
        <f>'National currencies'!G232/'Exchange rates'!B5</f>
        <v>601.35492436582581</v>
      </c>
      <c r="H232" s="66">
        <f>'National currencies'!H232/'Exchange rates'!B5</f>
        <v>402.05266158861974</v>
      </c>
      <c r="I232" s="48">
        <f>'National currencies'!I232/'Exchange rates'!B5</f>
        <v>601.35492436582581</v>
      </c>
      <c r="J232" s="48"/>
      <c r="K232" s="61"/>
      <c r="L232" s="220"/>
      <c r="M232" s="62" t="str">
        <f>IF(ISBLANK(L232),"",IF(O2&gt;0,0,IF(N2=0,0,M2)))</f>
        <v/>
      </c>
      <c r="N232" s="49" t="str">
        <f>IF(ISBLANK(L232),"",IF(O2&gt;0,0,N2))</f>
        <v/>
      </c>
      <c r="O232" s="63"/>
      <c r="P232" s="69" t="str">
        <f>IF(ISBLANK(L232),"",IF(M232=0,0,IF(L232=1,H232+(M232-1)*H232,(H232+(L232-1)*G231)+(H232+(L232-1)*G231)*(M232-1))))</f>
        <v/>
      </c>
      <c r="Q232" s="70" t="str">
        <f>IF(ISBLANK(L232),"",IF(N232=0,0,IF(L232=1,F232+(N232-1)*I232,(F232+(L232-1)*G232)+(I232+(L232-1)*G232)*(N232-1))))</f>
        <v/>
      </c>
      <c r="R232" s="71"/>
      <c r="S232" s="64" t="str">
        <f>IF(ISBLANK(L232),"",IF(N232=0,"",P232+Q232))</f>
        <v/>
      </c>
    </row>
    <row r="233" spans="1:19" x14ac:dyDescent="0.4">
      <c r="A233" s="45" t="s">
        <v>25</v>
      </c>
      <c r="B233" s="46" t="s">
        <v>110</v>
      </c>
      <c r="C233" s="46" t="s">
        <v>1</v>
      </c>
      <c r="D233" s="47"/>
      <c r="E233" s="67" t="str">
        <f>IF('National currencies'!E233="","",'National currencies'!E233)</f>
        <v>1.13</v>
      </c>
      <c r="F233" s="66">
        <f>'National currencies'!F233/'Exchange rates'!B5</f>
        <v>2930.9156290765591</v>
      </c>
      <c r="G233" s="66">
        <f>'National currencies'!G233/'Exchange rates'!B5</f>
        <v>2930.9156290765591</v>
      </c>
      <c r="H233" s="66">
        <f>'National currencies'!H233/'Exchange rates'!B5</f>
        <v>402.05266158861974</v>
      </c>
      <c r="I233" s="48">
        <f>'National currencies'!I233/'Exchange rates'!B5</f>
        <v>601.35492436582581</v>
      </c>
      <c r="J233" s="48">
        <f>'National currencies'!J233/'Exchange rates'!B5</f>
        <v>2930.9156290765591</v>
      </c>
      <c r="K233" s="61"/>
      <c r="L233" s="220"/>
      <c r="M233" s="62" t="str">
        <f>IF(ISBLANK(L233),"",IF(O2=0,0,M2))</f>
        <v/>
      </c>
      <c r="N233" s="49" t="str">
        <f>IF(ISBLANK(L233),"",IF(O2=0,0,N2))</f>
        <v/>
      </c>
      <c r="O233" s="63" t="str">
        <f>IF(ISBLANK(L233),"",O2)</f>
        <v/>
      </c>
      <c r="P233" s="69" t="str">
        <f>IF(ISBLANK(L233),"",IF(M233=0,0,IF(L233=1,H233+(M233-1)*H233,(H233+(L233-1)*G231)+(H233+(L233-1)*G231)*(M233-1))))</f>
        <v/>
      </c>
      <c r="Q233" s="70" t="str">
        <f>IF(ISBLANK(L233),"",IF(N233=0,0,IF(L233=1,I233+(N233-1)*I233,(I233+(L233-1)*G232)+(I233+(L233-1)*G232)*(N233-1))))</f>
        <v/>
      </c>
      <c r="R233" s="71" t="str">
        <f>IF(ISBLANK(L233),"",IF(O233=0,0,IF(L233=1,F233+(O233-1)*J233,(F233+(L233-1)*G233)+(J233+(L233-1)*G233)*(O233-1))))</f>
        <v/>
      </c>
      <c r="S233" s="64" t="str">
        <f>IF(ISBLANK(L233),"",IF(O233=0,"",P233+Q233+R233))</f>
        <v/>
      </c>
    </row>
    <row r="234" spans="1:19" x14ac:dyDescent="0.4">
      <c r="A234" s="45" t="s">
        <v>25</v>
      </c>
      <c r="B234" s="46" t="s">
        <v>110</v>
      </c>
      <c r="C234" s="46" t="s">
        <v>1</v>
      </c>
      <c r="D234" s="47" t="s">
        <v>26</v>
      </c>
      <c r="E234" s="67" t="str">
        <f>IF('National currencies'!E234="","",'National currencies'!E234)</f>
        <v>1.11</v>
      </c>
      <c r="F234" s="66">
        <f>'National currencies'!F234/'Exchange rates'!B5</f>
        <v>5327.3701728509222</v>
      </c>
      <c r="G234" s="66">
        <f>'National currencies'!G234/'Exchange rates'!B5</f>
        <v>5327.3701728509222</v>
      </c>
      <c r="H234" s="66">
        <f>'National currencies'!H234/'Exchange rates'!B5</f>
        <v>402.05266158861974</v>
      </c>
      <c r="I234" s="48">
        <f>'National currencies'!I234/'Exchange rates'!B5</f>
        <v>601.35492436582581</v>
      </c>
      <c r="J234" s="48">
        <f>'National currencies'!J234/'Exchange rates'!B5</f>
        <v>5327.3701728509222</v>
      </c>
      <c r="K234" s="61"/>
      <c r="L234" s="220"/>
      <c r="M234" s="62" t="str">
        <f>IF(ISBLANK(L234),"",IF(O2=0,0,M2))</f>
        <v/>
      </c>
      <c r="N234" s="49" t="str">
        <f>IF(ISBLANK(L234),"",IF(O2=0,0,N2))</f>
        <v/>
      </c>
      <c r="O234" s="63" t="str">
        <f>IF(ISBLANK(L234),"",O2)</f>
        <v/>
      </c>
      <c r="P234" s="69" t="str">
        <f>IF(ISBLANK(L234),"",IF(M234=0,0,IF(L234=1,F231+(M234-1)*H231,(F231+(L234-1)*G231)+(H231+(L234-1)*G231)*(M234-1))))</f>
        <v/>
      </c>
      <c r="Q234" s="70" t="str">
        <f>IF(ISBLANK(L234),"",IF(N234=0,0,IF(L234=1,F232+(N234-1)*I232,(F232+(L234-1)*G232)+(I232+(L234-1)*G232)*(N234-1))))</f>
        <v/>
      </c>
      <c r="R234" s="71" t="str">
        <f>IF(ISBLANK(L234),"",IF(O234=0,0,IF(L234=1,F234+(O234-1)*J234,(F234+(L234-1)*G234)+(J234+(L234-1)*G234)*(O234-1))))</f>
        <v/>
      </c>
      <c r="S234" s="64" t="str">
        <f>IF(ISBLANK(L234),"",IF(O234=0,"",P234+Q234+R234))</f>
        <v/>
      </c>
    </row>
    <row r="235" spans="1:19" x14ac:dyDescent="0.4">
      <c r="A235" s="45" t="s">
        <v>25</v>
      </c>
      <c r="B235" s="46" t="s">
        <v>110</v>
      </c>
      <c r="C235" s="46" t="s">
        <v>1</v>
      </c>
      <c r="D235" s="47" t="s">
        <v>27</v>
      </c>
      <c r="E235" s="67" t="str">
        <f>IF('National currencies'!E235="","",'National currencies'!E235)</f>
        <v>1.12</v>
      </c>
      <c r="F235" s="66">
        <f>'National currencies'!F235/'Exchange rates'!B5</f>
        <v>2992.9820776922979</v>
      </c>
      <c r="G235" s="66">
        <f>'National currencies'!G235/'Exchange rates'!B5</f>
        <v>2992.9820776922979</v>
      </c>
      <c r="H235" s="66">
        <f>'National currencies'!H235/'Exchange rates'!B5</f>
        <v>402.05266158861974</v>
      </c>
      <c r="I235" s="48">
        <f>'National currencies'!I235/'Exchange rates'!B5</f>
        <v>601.35492436582581</v>
      </c>
      <c r="J235" s="48">
        <f>'National currencies'!J235/'Exchange rates'!B5</f>
        <v>2992.9820776922979</v>
      </c>
      <c r="K235" s="61"/>
      <c r="L235" s="220"/>
      <c r="M235" s="62" t="str">
        <f>IF(ISBLANK(L235),"",IF(O2=0,0,M2))</f>
        <v/>
      </c>
      <c r="N235" s="49" t="str">
        <f>IF(ISBLANK(L235),"",IF(O2=0,0,N2))</f>
        <v/>
      </c>
      <c r="O235" s="63" t="str">
        <f>IF(ISBLANK(L235),"",O2)</f>
        <v/>
      </c>
      <c r="P235" s="69" t="str">
        <f>IF(ISBLANK(L235),"",IF(M235=0,0,IF(L235=1,H235+(M235-1)*H235,(H235+(L235-1)*G231)+(H235+(L235-1)*G231)*(M235-1))))</f>
        <v/>
      </c>
      <c r="Q235" s="70" t="str">
        <f>IF(ISBLANK(L235),"",IF(N235=0,0,IF(L235=1,I235+(N235-1)*I235,(I235+(L235-1)*G232)+(I235+(L235-1)*G232)*(N235-1))))</f>
        <v/>
      </c>
      <c r="R235" s="71" t="str">
        <f>IF(ISBLANK(L235),"",IF(O235=0,0,IF(L235=1,F235+(O235-1)*J235,(F235+(L235-1)*G235)+(J235+(L235-1)*G235)*(O235-1))))</f>
        <v/>
      </c>
      <c r="S235" s="64" t="str">
        <f>IF(ISBLANK(L235),"",IF(O235=0,"",P235+Q235+R235))</f>
        <v/>
      </c>
    </row>
    <row r="236" spans="1:19" x14ac:dyDescent="0.4">
      <c r="A236" s="45" t="s">
        <v>25</v>
      </c>
      <c r="B236" s="46" t="s">
        <v>108</v>
      </c>
      <c r="C236" s="46" t="s">
        <v>2</v>
      </c>
      <c r="D236" s="47"/>
      <c r="E236" s="67" t="str">
        <f>IF('National currencies'!E236="","",'National currencies'!E236)</f>
        <v>2.9</v>
      </c>
      <c r="F236" s="66">
        <f>'National currencies'!F236/'Exchange rates'!B5</f>
        <v>120.68476119727008</v>
      </c>
      <c r="G236" s="66">
        <f>'National currencies'!G236/'Exchange rates'!B5</f>
        <v>120.68476119727008</v>
      </c>
      <c r="H236" s="66">
        <f>'National currencies'!H236/'Exchange rates'!B5</f>
        <v>120.68476119727008</v>
      </c>
      <c r="I236" s="48"/>
      <c r="J236" s="48"/>
      <c r="K236" s="61"/>
      <c r="L236" s="220"/>
      <c r="M236" s="62" t="str">
        <f>IF(ISBLANK(L236),"",IF((N2+O2)&gt;0,0,M2))</f>
        <v/>
      </c>
      <c r="N236" s="49"/>
      <c r="O236" s="63"/>
      <c r="P236" s="69" t="str">
        <f>IF(ISBLANK(L236),"",IF(M236=0,0,IF(L236=1,F236+(M236-1)*H236,(F236+(L236-1)*G236)+(H236+(L236-1)*G236)*(M236-1))))</f>
        <v/>
      </c>
      <c r="Q236" s="70"/>
      <c r="R236" s="71"/>
      <c r="S236" s="64" t="str">
        <f>IF(ISBLANK(L236),"",IF(M236=0,"",P236))</f>
        <v/>
      </c>
    </row>
    <row r="237" spans="1:19" x14ac:dyDescent="0.4">
      <c r="A237" s="45" t="s">
        <v>25</v>
      </c>
      <c r="B237" s="46" t="s">
        <v>108</v>
      </c>
      <c r="C237" s="46" t="s">
        <v>2</v>
      </c>
      <c r="D237" s="47" t="s">
        <v>36</v>
      </c>
      <c r="E237" s="67" t="str">
        <f>IF('National currencies'!E237="","",'National currencies'!E237)</f>
        <v/>
      </c>
      <c r="F237" s="66">
        <f>'National currencies'!F237/'Exchange rates'!B6</f>
        <v>0</v>
      </c>
      <c r="G237" s="66">
        <f>'National currencies'!G237/'Exchange rates'!C6</f>
        <v>0</v>
      </c>
      <c r="H237" s="66">
        <f>'National currencies'!H237/'Exchange rates'!B6</f>
        <v>0</v>
      </c>
      <c r="I237" s="48"/>
      <c r="J237" s="48"/>
      <c r="K237" s="61"/>
      <c r="L237" s="220"/>
      <c r="M237" s="62" t="str">
        <f>IF(ISBLANK(L237),"",IF((N2+O2)&gt;0,0,M2))</f>
        <v/>
      </c>
      <c r="N237" s="49"/>
      <c r="O237" s="63"/>
      <c r="P237" s="69" t="str">
        <f>IF(ISBLANK(L237),"",IF(M237=0,0,IF(L237=1,F237+(M237-1)*H237,(F237+(L237-1)*G237)+(H237+(L237-1)*G237)*(M237-1))))</f>
        <v/>
      </c>
      <c r="Q237" s="70"/>
      <c r="R237" s="71"/>
      <c r="S237" s="64" t="str">
        <f>IF(ISBLANK(L237),"",IF(M237=0,"",P237))</f>
        <v/>
      </c>
    </row>
    <row r="238" spans="1:19" x14ac:dyDescent="0.4">
      <c r="A238" s="45" t="s">
        <v>25</v>
      </c>
      <c r="B238" s="46" t="s">
        <v>109</v>
      </c>
      <c r="C238" s="46" t="s">
        <v>2</v>
      </c>
      <c r="D238" s="47"/>
      <c r="E238" s="67" t="str">
        <f>IF('National currencies'!E238="","",'National currencies'!E238)</f>
        <v>2.10</v>
      </c>
      <c r="F238" s="66">
        <f>'National currencies'!F238/'Exchange rates'!B5</f>
        <v>235.85250473980781</v>
      </c>
      <c r="G238" s="66">
        <f>'National currencies'!G238/'Exchange rates'!B5</f>
        <v>235.85250473980781</v>
      </c>
      <c r="H238" s="66">
        <f>'National currencies'!H238/'Exchange rates'!B5</f>
        <v>120.68476119727008</v>
      </c>
      <c r="I238" s="48">
        <f>'National currencies'!I238/'Exchange rates'!B5</f>
        <v>235.85250473980781</v>
      </c>
      <c r="J238" s="48"/>
      <c r="K238" s="61"/>
      <c r="L238" s="220"/>
      <c r="M238" s="62" t="str">
        <f>IF(ISBLANK(L238),"",IF(O2&gt;0,0,IF(N2=0,0,M2)))</f>
        <v/>
      </c>
      <c r="N238" s="49" t="str">
        <f>IF(ISBLANK(L238),"",IF(O2&gt;0,0,N2))</f>
        <v/>
      </c>
      <c r="O238" s="63"/>
      <c r="P238" s="69" t="str">
        <f>IF(ISBLANK(L238),"",IF(M238=0,0,IF(L238=1,H238+(M238-1)*H238,(H238+(L238-1)*G237)+(H238+(L238-1)*G237)*(M238-1))))</f>
        <v/>
      </c>
      <c r="Q238" s="70" t="str">
        <f>IF(ISBLANK(L238),"",IF(N238=0,0,IF(L238=1,F238+(N238-1)*I238,(F238+(L238-1)*G238)+(I238+(L238-1)*G238)*(N238-1))))</f>
        <v/>
      </c>
      <c r="R238" s="71"/>
      <c r="S238" s="64" t="str">
        <f>IF(ISBLANK(L238),"",IF(N238=0,"",P238+Q238))</f>
        <v/>
      </c>
    </row>
    <row r="239" spans="1:19" x14ac:dyDescent="0.4">
      <c r="A239" s="45" t="s">
        <v>25</v>
      </c>
      <c r="B239" s="46" t="s">
        <v>109</v>
      </c>
      <c r="C239" s="46" t="s">
        <v>2</v>
      </c>
      <c r="D239" s="47" t="s">
        <v>36</v>
      </c>
      <c r="E239" s="67" t="str">
        <f>IF('National currencies'!E239="","",'National currencies'!E239)</f>
        <v/>
      </c>
      <c r="F239" s="66">
        <f>'National currencies'!F239/'Exchange rates'!B8</f>
        <v>0</v>
      </c>
      <c r="G239" s="66">
        <f>'National currencies'!G239/'Exchange rates'!C8</f>
        <v>0</v>
      </c>
      <c r="H239" s="66">
        <f>'National currencies'!H239/'Exchange rates'!B8</f>
        <v>0</v>
      </c>
      <c r="I239" s="48"/>
      <c r="J239" s="48"/>
      <c r="K239" s="61"/>
      <c r="L239" s="220"/>
      <c r="M239" s="62" t="str">
        <f>IF(ISBLANK(L239),"",IF(O2&gt;0,0,IF(N2=0,0,M2)))</f>
        <v/>
      </c>
      <c r="N239" s="49" t="str">
        <f>IF(ISBLANK(L239),"",IF(O2&gt;0,0,N2))</f>
        <v/>
      </c>
      <c r="O239" s="63"/>
      <c r="P239" s="69" t="str">
        <f>IF(ISBLANK(L239),"",IF(M239=0,0,IF(L239=1,H239+(M239-1)*H239,(H239+(L239-1)*G238)+(H239+(L239-1)*G238)*(M239-1))))</f>
        <v/>
      </c>
      <c r="Q239" s="70" t="str">
        <f>IF(ISBLANK(L239),"",IF(N239=0,0,IF(L239=1,F239+(N239-1)*I239,(F239+(L239-1)*G239)+(I239+(L239-1)*G239)*(N239-1))))</f>
        <v/>
      </c>
      <c r="R239" s="71"/>
      <c r="S239" s="64" t="str">
        <f>IF(ISBLANK(L239),"",IF(N239=0,"",P239+Q239))</f>
        <v/>
      </c>
    </row>
    <row r="240" spans="1:19" x14ac:dyDescent="0.4">
      <c r="A240" s="45" t="s">
        <v>25</v>
      </c>
      <c r="B240" s="46" t="s">
        <v>110</v>
      </c>
      <c r="C240" s="46" t="s">
        <v>2</v>
      </c>
      <c r="D240" s="47"/>
      <c r="E240" s="67" t="str">
        <f>IF('National currencies'!E240="","",'National currencies'!E240)</f>
        <v>2.13</v>
      </c>
      <c r="F240" s="66">
        <f>'National currencies'!F240/'Exchange rates'!B5</f>
        <v>388.94974465863044</v>
      </c>
      <c r="G240" s="66">
        <f>'National currencies'!G240/'Exchange rates'!B5</f>
        <v>388.94974465863044</v>
      </c>
      <c r="H240" s="66">
        <f>'National currencies'!H240/'Exchange rates'!B5</f>
        <v>120.68476119727008</v>
      </c>
      <c r="I240" s="48">
        <f>'National currencies'!I240/'Exchange rates'!B5</f>
        <v>235.85250473980781</v>
      </c>
      <c r="J240" s="48">
        <f>'National currencies'!J240/'Exchange rates'!B5</f>
        <v>388.94974465863044</v>
      </c>
      <c r="K240" s="61"/>
      <c r="L240" s="220"/>
      <c r="M240" s="62" t="str">
        <f>IF(ISBLANK(L240),"",IF(O2=0,0,M2))</f>
        <v/>
      </c>
      <c r="N240" s="49" t="str">
        <f>IF(ISBLANK(L240),"",IF(O2=0,0,N2))</f>
        <v/>
      </c>
      <c r="O240" s="63" t="str">
        <f>IF(ISBLANK(L240),"",O2)</f>
        <v/>
      </c>
      <c r="P240" s="69" t="str">
        <f>IF(ISBLANK(L240),"",IF(M240=0,0,IF(L240=1,H240+(M240-1)*H240,(H240+(L240-1)*G236)+(H240+(L240-1)*G236)*(M240-1))))</f>
        <v/>
      </c>
      <c r="Q240" s="70" t="str">
        <f>IF(ISBLANK(L240),"",IF(N240=0,0,IF(L240=1,I240+(N240-1)*I240,(I240+(L240-1)*G239)+(I240+(L240-1)*G239)*(N240-1))))</f>
        <v/>
      </c>
      <c r="R240" s="71" t="str">
        <f>IF(ISBLANK(L240),"",IF(O240=0,0,IF(L240=1,F240+(O240-1)*J240,(F240+(L240-1)*G240)+(J240+(L240-1)*G240)*(O240-1))))</f>
        <v/>
      </c>
      <c r="S240" s="64" t="str">
        <f>IF(ISBLANK(L240),"",IF(O240=0,"",P240+Q240+R240))</f>
        <v/>
      </c>
    </row>
    <row r="241" spans="1:19" x14ac:dyDescent="0.4">
      <c r="A241" s="45" t="s">
        <v>25</v>
      </c>
      <c r="B241" s="46" t="s">
        <v>110</v>
      </c>
      <c r="C241" s="46" t="s">
        <v>2</v>
      </c>
      <c r="D241" s="47" t="s">
        <v>26</v>
      </c>
      <c r="E241" s="67" t="str">
        <f>IF('National currencies'!E241="","",'National currencies'!E241)</f>
        <v>2.11</v>
      </c>
      <c r="F241" s="66">
        <f>'National currencies'!F241/'Exchange rates'!B5</f>
        <v>447.56805724016158</v>
      </c>
      <c r="G241" s="66">
        <f>'National currencies'!G241/'Exchange rates'!B5</f>
        <v>447.56805724016158</v>
      </c>
      <c r="H241" s="66">
        <f>'National currencies'!H241/'Exchange rates'!B5</f>
        <v>120.68476119727008</v>
      </c>
      <c r="I241" s="48">
        <f>'National currencies'!I241/'Exchange rates'!B5</f>
        <v>235.85250473980781</v>
      </c>
      <c r="J241" s="48">
        <f>'National currencies'!J241/'Exchange rates'!B5</f>
        <v>447.56805724016158</v>
      </c>
      <c r="K241" s="61"/>
      <c r="L241" s="220"/>
      <c r="M241" s="62" t="str">
        <f>IF(ISBLANK(L241),"",IF(O2=0,0,M2))</f>
        <v/>
      </c>
      <c r="N241" s="49" t="str">
        <f>IF(ISBLANK(L241),"",IF(O2=0,0,N2))</f>
        <v/>
      </c>
      <c r="O241" s="63" t="str">
        <f>IF(ISBLANK(L241),"",O2)</f>
        <v/>
      </c>
      <c r="P241" s="69" t="str">
        <f>IF(ISBLANK(L241),"",IF(M241=0,0,IF(L241=1,H241+(M241-1)*H241,(H241+(L241-1)*G236)+(H241+(L241-1)*G236)*(M241-1))))</f>
        <v/>
      </c>
      <c r="Q241" s="70" t="str">
        <f>IF(ISBLANK(L241),"",IF(N241=0,0,IF(L241=1,I241+(N241-1)*I241,(I241+(L241-1)*G239)+(I241+(L241-1)*G239)*(N241-1))))</f>
        <v/>
      </c>
      <c r="R241" s="71" t="str">
        <f>IF(ISBLANK(L241),"",IF(O241=0,0,IF(L241=1,F241+(O241-1)*J241,(F241+(L241-1)*G241)+(J241+(L241-1)*G241)*(O241-1))))</f>
        <v/>
      </c>
      <c r="S241" s="64" t="str">
        <f>IF(ISBLANK(L241),"",IF(O241=0,"",P241+Q241+R241))</f>
        <v/>
      </c>
    </row>
    <row r="242" spans="1:19" x14ac:dyDescent="0.4">
      <c r="A242" s="45" t="s">
        <v>25</v>
      </c>
      <c r="B242" s="46" t="s">
        <v>110</v>
      </c>
      <c r="C242" s="46" t="s">
        <v>2</v>
      </c>
      <c r="D242" s="47" t="s">
        <v>27</v>
      </c>
      <c r="E242" s="67" t="str">
        <f>IF('National currencies'!E242="","",'National currencies'!E242)</f>
        <v>2.12</v>
      </c>
      <c r="F242" s="66">
        <f>'National currencies'!F242/'Exchange rates'!B5</f>
        <v>447.56805724016158</v>
      </c>
      <c r="G242" s="66">
        <f>'National currencies'!G242/'Exchange rates'!B5</f>
        <v>447.56805724016158</v>
      </c>
      <c r="H242" s="66">
        <f>'National currencies'!H242/'Exchange rates'!B5</f>
        <v>120.68476119727008</v>
      </c>
      <c r="I242" s="48">
        <f>'National currencies'!I242/'Exchange rates'!B5</f>
        <v>235.85250473980781</v>
      </c>
      <c r="J242" s="48">
        <f>'National currencies'!J242/'Exchange rates'!B5</f>
        <v>447.56805724016158</v>
      </c>
      <c r="K242" s="61"/>
      <c r="L242" s="220"/>
      <c r="M242" s="62" t="str">
        <f>IF(ISBLANK(L242),"",IF(O2=0,0,M2))</f>
        <v/>
      </c>
      <c r="N242" s="49" t="str">
        <f>IF(ISBLANK(L242),"",IF(O2=0,0,N2))</f>
        <v/>
      </c>
      <c r="O242" s="63" t="str">
        <f>IF(ISBLANK(L242),"",O2)</f>
        <v/>
      </c>
      <c r="P242" s="69" t="str">
        <f>IF(ISBLANK(L242),"",IF(M242=0,0,IF(L242=1,H242+(M242-1)*H242,(H242+(L242-1)*G236)+(H242+(L242-1)*G236)*(M242-1))))</f>
        <v/>
      </c>
      <c r="Q242" s="70" t="str">
        <f>IF(ISBLANK(L242),"",IF(N242=0,0,IF(L242=1,I242+(N242-1)*I242,(I242+(L242-1)*G239)+(I242+(L242-1)*G239)*(N242-1))))</f>
        <v/>
      </c>
      <c r="R242" s="71" t="str">
        <f>IF(ISBLANK(L242),"",IF(O242=0,0,IF(L242=1,F242+(O242-1)*J242,(F242+(L242-1)*G242)+(J242+(L242-1)*G242)*(O242-1))))</f>
        <v/>
      </c>
      <c r="S242" s="64" t="str">
        <f>IF(ISBLANK(L242),"",IF(O242=0,"",P242+Q242+R242))</f>
        <v/>
      </c>
    </row>
    <row r="243" spans="1:19" x14ac:dyDescent="0.4">
      <c r="A243" s="45" t="s">
        <v>25</v>
      </c>
      <c r="B243" s="46" t="s">
        <v>108</v>
      </c>
      <c r="C243" s="46" t="s">
        <v>0</v>
      </c>
      <c r="D243" s="47"/>
      <c r="E243" s="67" t="str">
        <f>IF('National currencies'!E243="","",'National currencies'!E243)</f>
        <v>3.8</v>
      </c>
      <c r="F243" s="66">
        <f>'National currencies'!F243/'Exchange rates'!B5</f>
        <v>268.95461066820189</v>
      </c>
      <c r="G243" s="66">
        <f>'National currencies'!G243/'Exchange rates'!B5</f>
        <v>268.95461066820189</v>
      </c>
      <c r="H243" s="66">
        <f>'National currencies'!H243/'Exchange rates'!B5</f>
        <v>268.95461066820189</v>
      </c>
      <c r="I243" s="48"/>
      <c r="J243" s="48"/>
      <c r="K243" s="61"/>
      <c r="L243" s="220"/>
      <c r="M243" s="62" t="str">
        <f>IF(ISBLANK(L243),"",IF((N2+O2)&gt;0,0,M2))</f>
        <v/>
      </c>
      <c r="N243" s="49"/>
      <c r="O243" s="63"/>
      <c r="P243" s="69" t="str">
        <f>IF(ISBLANK(L243),"",IF(M243=0,0,IF(L243=1,F243+(M243-1)*H243,(F243+(L243-1)*G243)+(H243+(L243-1)*G243)*(M243-1))))</f>
        <v/>
      </c>
      <c r="Q243" s="70"/>
      <c r="R243" s="71"/>
      <c r="S243" s="64" t="str">
        <f>IF(ISBLANK(L243),"",IF(M243=0,"",P243))</f>
        <v/>
      </c>
    </row>
    <row r="244" spans="1:19" x14ac:dyDescent="0.4">
      <c r="A244" s="45" t="s">
        <v>25</v>
      </c>
      <c r="B244" s="46" t="s">
        <v>109</v>
      </c>
      <c r="C244" s="46" t="s">
        <v>0</v>
      </c>
      <c r="D244" s="47"/>
      <c r="E244" s="67" t="str">
        <f>IF('National currencies'!E244="","",'National currencies'!E244)</f>
        <v>3.9</v>
      </c>
      <c r="F244" s="66">
        <f>'National currencies'!F244/'Exchange rates'!B5</f>
        <v>347.57211224813784</v>
      </c>
      <c r="G244" s="66">
        <f>'National currencies'!G244/'Exchange rates'!B5</f>
        <v>347.57211224813784</v>
      </c>
      <c r="H244" s="66">
        <f>'National currencies'!H244/'Exchange rates'!B5</f>
        <v>268.95461066820189</v>
      </c>
      <c r="I244" s="48">
        <f>'National currencies'!I244/'Exchange rates'!B5</f>
        <v>347.57211224813784</v>
      </c>
      <c r="J244" s="48"/>
      <c r="K244" s="61"/>
      <c r="L244" s="220"/>
      <c r="M244" s="62" t="str">
        <f>IF(ISBLANK(L244),"",IF(O2&gt;0,0,IF(N2=0,0,M2)))</f>
        <v/>
      </c>
      <c r="N244" s="49" t="str">
        <f>IF(ISBLANK(L244),"",IF(O2&gt;0,0,N2))</f>
        <v/>
      </c>
      <c r="O244" s="63"/>
      <c r="P244" s="69" t="str">
        <f>IF(ISBLANK(L244),"",IF(M244=0,0,IF(L244=1,H244+(M244-1)*H244,(H244+(L244-1)*G243)+(H244+(L244-1)*G243)*(M244-1))))</f>
        <v/>
      </c>
      <c r="Q244" s="70" t="str">
        <f>IF(ISBLANK(L244),"",IF(N244=0,0,IF(L244=1,F244+(N244-1)*I244,(F244+(L244-1)*G244)+(I244+(L244-1)*G244)*(N244-1))))</f>
        <v/>
      </c>
      <c r="R244" s="71"/>
      <c r="S244" s="64" t="str">
        <f>IF(ISBLANK(L244),"",IF(N244=0,"",P244+Q244))</f>
        <v/>
      </c>
    </row>
    <row r="245" spans="1:19" x14ac:dyDescent="0.4">
      <c r="A245" s="45" t="s">
        <v>25</v>
      </c>
      <c r="B245" s="46" t="s">
        <v>110</v>
      </c>
      <c r="C245" s="46" t="s">
        <v>0</v>
      </c>
      <c r="D245" s="47"/>
      <c r="E245" s="67" t="str">
        <f>IF('National currencies'!E245="","",'National currencies'!E245)</f>
        <v>3.12</v>
      </c>
      <c r="F245" s="66">
        <f>'National currencies'!F245/'Exchange rates'!B5</f>
        <v>1218.571274489007</v>
      </c>
      <c r="G245" s="66">
        <f>'National currencies'!G245/'Exchange rates'!B5</f>
        <v>1218.571274489007</v>
      </c>
      <c r="H245" s="66">
        <f>'National currencies'!H245/'Exchange rates'!B5</f>
        <v>268.95461066820189</v>
      </c>
      <c r="I245" s="48">
        <f>'National currencies'!I245/'Exchange rates'!B5</f>
        <v>347.57211224813784</v>
      </c>
      <c r="J245" s="48">
        <f>'National currencies'!J245/'Exchange rates'!B5</f>
        <v>1218.571274489007</v>
      </c>
      <c r="K245" s="61"/>
      <c r="L245" s="220"/>
      <c r="M245" s="62" t="str">
        <f>IF(ISBLANK(L245),"",IF(O2=0,0,M2))</f>
        <v/>
      </c>
      <c r="N245" s="49" t="str">
        <f>IF(ISBLANK(L245),"",IF(O2=0,0,N2))</f>
        <v/>
      </c>
      <c r="O245" s="63" t="str">
        <f>IF(ISBLANK(L245),"",O2)</f>
        <v/>
      </c>
      <c r="P245" s="69" t="str">
        <f>IF(ISBLANK(L245),"",IF(M245=0,0,IF(L245=1,H245+(M245-1)*H245,(H245+(L245-1)*G243)+(H245+(L245-1)*G243)*(M245-1))))</f>
        <v/>
      </c>
      <c r="Q245" s="70" t="str">
        <f>IF(ISBLANK(L245),"",IF(N245=0,0,IF(L245=1,I245+(N245-1)*I245,(I245+(L245-1)*G244)+(I245+(L245-1)*G244)*(N245-1))))</f>
        <v/>
      </c>
      <c r="R245" s="71" t="str">
        <f>IF(ISBLANK(L245),"",IF(O245=0,0,IF(L245=1,F245+(O245-1)*J245,(F245+(L245-1)*G245)+(J245+(L245-1)*G245)*(O245-1))))</f>
        <v/>
      </c>
      <c r="S245" s="64" t="str">
        <f>IF(ISBLANK(L245),"",IF(O245=0,"",P245+Q245+R245))</f>
        <v/>
      </c>
    </row>
    <row r="246" spans="1:19" x14ac:dyDescent="0.4">
      <c r="A246" s="45" t="s">
        <v>25</v>
      </c>
      <c r="B246" s="46" t="s">
        <v>110</v>
      </c>
      <c r="C246" s="46" t="s">
        <v>0</v>
      </c>
      <c r="D246" s="47" t="s">
        <v>26</v>
      </c>
      <c r="E246" s="67" t="str">
        <f>IF('National currencies'!E246="","",'National currencies'!E246)</f>
        <v>3.10</v>
      </c>
      <c r="F246" s="66">
        <f>'National currencies'!F246/'Exchange rates'!B5</f>
        <v>3225.386446397898</v>
      </c>
      <c r="G246" s="66">
        <f>'National currencies'!G246/'Exchange rates'!B5</f>
        <v>3225.386446397898</v>
      </c>
      <c r="H246" s="66">
        <f>'National currencies'!H246/'Exchange rates'!B5</f>
        <v>268.95461066820189</v>
      </c>
      <c r="I246" s="48">
        <f>'National currencies'!I246/'Exchange rates'!B5</f>
        <v>347.57211224813784</v>
      </c>
      <c r="J246" s="48">
        <f>'National currencies'!J246/'Exchange rates'!B5</f>
        <v>3225.386446397898</v>
      </c>
      <c r="K246" s="61"/>
      <c r="L246" s="220"/>
      <c r="M246" s="62" t="str">
        <f>IF(ISBLANK(L246),"",IF(O2=0,0,M2))</f>
        <v/>
      </c>
      <c r="N246" s="49" t="str">
        <f>IF(ISBLANK(L246),"",IF(O2=0,0,N2))</f>
        <v/>
      </c>
      <c r="O246" s="63" t="str">
        <f>IF(ISBLANK(L246),"",O2)</f>
        <v/>
      </c>
      <c r="P246" s="69" t="str">
        <f>IF(ISBLANK(L246),"",IF(M246=0,0,IF(L246=1,H246+(M246-1)*H246,(H246+(L246-1)*G243)+(H246+(L246-1)*G243)*(M246-1))))</f>
        <v/>
      </c>
      <c r="Q246" s="70" t="str">
        <f>IF(ISBLANK(L246),"",IF(N246=0,0,IF(L246=1,I246+(N246-1)*I246,(I246+(L246-1)*G244)+(I246+(L246-1)*G244)*(N246-1))))</f>
        <v/>
      </c>
      <c r="R246" s="71" t="str">
        <f>IF(ISBLANK(L246),"",IF(O246=0,0,IF(L246=1,F246+(O246-1)*J246,(F246+(L246-1)*G246)+(J246+(L246-1)*G246)*(O246-1))))</f>
        <v/>
      </c>
      <c r="S246" s="64" t="str">
        <f>IF(ISBLANK(L246),"",IF(O246=0,"",P246+Q246+R246))</f>
        <v/>
      </c>
    </row>
    <row r="247" spans="1:19" x14ac:dyDescent="0.4">
      <c r="A247" s="45" t="s">
        <v>25</v>
      </c>
      <c r="B247" s="46" t="s">
        <v>110</v>
      </c>
      <c r="C247" s="46" t="s">
        <v>0</v>
      </c>
      <c r="D247" s="47" t="s">
        <v>27</v>
      </c>
      <c r="E247" s="67" t="str">
        <f>IF('National currencies'!E247="","",'National currencies'!E247)</f>
        <v>3.11</v>
      </c>
      <c r="F247" s="66">
        <f>'National currencies'!F247/'Exchange rates'!B5</f>
        <v>1886.1304107116209</v>
      </c>
      <c r="G247" s="66">
        <f>'National currencies'!G247/'Exchange rates'!B5</f>
        <v>1886.1304107116209</v>
      </c>
      <c r="H247" s="66">
        <f>'National currencies'!H247/'Exchange rates'!B5</f>
        <v>268.95461066820189</v>
      </c>
      <c r="I247" s="48">
        <f>'National currencies'!I247/'Exchange rates'!B5</f>
        <v>347.57211224813784</v>
      </c>
      <c r="J247" s="48">
        <f>'National currencies'!J247/'Exchange rates'!B5</f>
        <v>1886.1304107116209</v>
      </c>
      <c r="K247" s="61"/>
      <c r="L247" s="220"/>
      <c r="M247" s="62" t="str">
        <f>IF(ISBLANK(L247),"",IF(O2=0,0,M2))</f>
        <v/>
      </c>
      <c r="N247" s="49" t="str">
        <f>IF(ISBLANK(L247),"",IF(O2=0,0,N2))</f>
        <v/>
      </c>
      <c r="O247" s="63" t="str">
        <f>IF(ISBLANK(L247),"",O2)</f>
        <v/>
      </c>
      <c r="P247" s="69" t="str">
        <f>IF(ISBLANK(L247),"",IF(M247=0,0,IF(L247=1,H247+(M247-1)*H247,(H247+(L247-1)*G243)+(H247+(L247-1)*G243)*(M247-1))))</f>
        <v/>
      </c>
      <c r="Q247" s="70" t="str">
        <f>IF(ISBLANK(L247),"",IF(N247=0,0,IF(L247=1,I247+(N247-1)*I247,(I247+(L247-1)*G244)+(I247+(L247-1)*G244)*(N247-1))))</f>
        <v/>
      </c>
      <c r="R247" s="71" t="str">
        <f>IF(ISBLANK(L247),"",IF(O247=0,0,IF(L247=1,F247+(O247-1)*J247,(F247+(L247-1)*G247)+(J247+(L247-1)*G247)*(O247-1))))</f>
        <v/>
      </c>
      <c r="S247" s="64" t="str">
        <f>IF(ISBLANK(L247),"",IF(O247=0,"",P247+Q247+R247))</f>
        <v/>
      </c>
    </row>
    <row r="248" spans="1:19" x14ac:dyDescent="0.4">
      <c r="A248" s="45" t="s">
        <v>30</v>
      </c>
      <c r="B248" s="46" t="s">
        <v>108</v>
      </c>
      <c r="C248" s="46" t="s">
        <v>1</v>
      </c>
      <c r="D248" s="47"/>
      <c r="E248" s="67" t="str">
        <f>IF('National currencies'!E248="","",'National currencies'!E248)</f>
        <v>B.2.1.2 / B.2.2.2</v>
      </c>
      <c r="F248" s="66">
        <f>'National currencies'!F248</f>
        <v>1041.96</v>
      </c>
      <c r="G248" s="65">
        <f>'National currencies'!G248</f>
        <v>0</v>
      </c>
      <c r="H248" s="66">
        <f>'National currencies'!H248</f>
        <v>1041.96</v>
      </c>
      <c r="I248" s="48"/>
      <c r="J248" s="48"/>
      <c r="K248" s="61"/>
      <c r="L248" s="220"/>
      <c r="M248" s="62" t="str">
        <f>IF(ISBLANK(L248),"",IF((N2+O2)&gt;0,0,M2))</f>
        <v/>
      </c>
      <c r="N248" s="49"/>
      <c r="O248" s="63"/>
      <c r="P248" s="69" t="str">
        <f>IF(ISBLANK(L248),"",IF(M248=0,0,IF(L248=1,F248+(M248-1)*H248,(F248+(L248-1)*G248)+(H248+(L248-1)*G248)*(M248-1))))</f>
        <v/>
      </c>
      <c r="Q248" s="70"/>
      <c r="R248" s="71"/>
      <c r="S248" s="64" t="str">
        <f>IF(ISBLANK(L248),"",IF(M248=0,"",P248))</f>
        <v/>
      </c>
    </row>
    <row r="249" spans="1:19" x14ac:dyDescent="0.4">
      <c r="A249" s="45" t="s">
        <v>30</v>
      </c>
      <c r="B249" s="46" t="s">
        <v>109</v>
      </c>
      <c r="C249" s="46" t="s">
        <v>1</v>
      </c>
      <c r="D249" s="47"/>
      <c r="E249" s="67" t="str">
        <f>IF('National currencies'!E249="","",'National currencies'!E249)</f>
        <v>B.2.1.6 / B.2.2.6</v>
      </c>
      <c r="F249" s="66">
        <f>'National currencies'!F249</f>
        <v>2417.38</v>
      </c>
      <c r="G249" s="65">
        <f>'National currencies'!G249</f>
        <v>0</v>
      </c>
      <c r="H249" s="66">
        <f>'National currencies'!H249</f>
        <v>1041.96</v>
      </c>
      <c r="I249" s="48">
        <f>'National currencies'!I249</f>
        <v>2417.38</v>
      </c>
      <c r="J249" s="48"/>
      <c r="K249" s="61"/>
      <c r="L249" s="220"/>
      <c r="M249" s="62" t="str">
        <f>IF(ISBLANK(L249),"",IF(O2&gt;0,0,IF(N2=0,0,M2)))</f>
        <v/>
      </c>
      <c r="N249" s="49" t="str">
        <f>IF(ISBLANK(L249),"",IF(O2&gt;0,0,N2))</f>
        <v/>
      </c>
      <c r="O249" s="63"/>
      <c r="P249" s="69" t="str">
        <f>IF(ISBLANK(L249),"",IF(M249=0,0,IF(L249=1,H249+(M249-1)*H249,(H249+(L249-1)*G248)+(H249+(L249-1)*G248)*(M249-1))))</f>
        <v/>
      </c>
      <c r="Q249" s="70" t="str">
        <f>IF(ISBLANK(L249),"",IF(N249=0,0,IF(L249=1,F249+(N249-1)*I249,(F249+(L249-1)*G249)+(I249+(L249-1)*G249)*(N249-1))))</f>
        <v/>
      </c>
      <c r="R249" s="71"/>
      <c r="S249" s="64" t="str">
        <f>IF(ISBLANK(L249),"",IF(N249=0,"",P249+Q249))</f>
        <v/>
      </c>
    </row>
    <row r="250" spans="1:19" x14ac:dyDescent="0.4">
      <c r="A250" s="45" t="s">
        <v>30</v>
      </c>
      <c r="B250" s="46" t="s">
        <v>110</v>
      </c>
      <c r="C250" s="46" t="s">
        <v>1</v>
      </c>
      <c r="D250" s="56" t="s">
        <v>435</v>
      </c>
      <c r="E250" s="67" t="str">
        <f>IF('National currencies'!E250="","",'National currencies'!E250)</f>
        <v>B.2.1.14 / B.2.2.14</v>
      </c>
      <c r="F250" s="66">
        <f>'National currencies'!F250</f>
        <v>14504.31</v>
      </c>
      <c r="G250" s="65">
        <f>'National currencies'!G250</f>
        <v>0</v>
      </c>
      <c r="H250" s="66">
        <f>'National currencies'!H250</f>
        <v>1041.96</v>
      </c>
      <c r="I250" s="48">
        <f>'National currencies'!I250</f>
        <v>2417.38</v>
      </c>
      <c r="J250" s="48">
        <f>'National currencies'!J250</f>
        <v>14504.31</v>
      </c>
      <c r="K250" s="61"/>
      <c r="L250" s="220"/>
      <c r="M250" s="62" t="str">
        <f>IF(ISBLANK(L250),"",IF(O2=0,0,M2))</f>
        <v/>
      </c>
      <c r="N250" s="49" t="str">
        <f>IF(ISBLANK(L250),"",IF(O2=0,0,N2))</f>
        <v/>
      </c>
      <c r="O250" s="63" t="str">
        <f>IF(ISBLANK(L250),"",O2)</f>
        <v/>
      </c>
      <c r="P250" s="69" t="str">
        <f>IF(ISBLANK(L250),"",IF(M250=0,0,IF(L250=1,H250+(M250-1)*H250,(H250+(L250-1)*G248)+(H250+(L250-1)*G248)*(M250-1))))</f>
        <v/>
      </c>
      <c r="Q250" s="70" t="str">
        <f>IF(ISBLANK(L250),"",IF(N250=0,0,IF(L250=1,I250+(N250-1)*I250,(I250+(L250-1)*G249)+(I250+(L250-1)*G249)*(N250-1))))</f>
        <v/>
      </c>
      <c r="R250" s="71" t="str">
        <f>IF(ISBLANK(L250),"",IF(O250=0,0,IF(L250=1,F250+(O250-1)*J250,(F250+(L250-1)*G250)+(J250+(L250-1)*G250)*(O250-1))))</f>
        <v/>
      </c>
      <c r="S250" s="64" t="str">
        <f>IF(ISBLANK(L250),"",IF(O250=0,"",P250+Q250+R250))</f>
        <v/>
      </c>
    </row>
    <row r="251" spans="1:19" x14ac:dyDescent="0.4">
      <c r="A251" s="45" t="s">
        <v>30</v>
      </c>
      <c r="B251" s="46" t="s">
        <v>110</v>
      </c>
      <c r="C251" s="46" t="s">
        <v>1</v>
      </c>
      <c r="D251" s="47" t="s">
        <v>29</v>
      </c>
      <c r="E251" s="67" t="str">
        <f>IF('National currencies'!E251="","",'National currencies'!E251)</f>
        <v>B.2.1.10 / B.2.2.10</v>
      </c>
      <c r="F251" s="66">
        <f>'National currencies'!F251</f>
        <v>29008.62</v>
      </c>
      <c r="G251" s="65">
        <f>'National currencies'!G251</f>
        <v>0</v>
      </c>
      <c r="H251" s="66">
        <f>'National currencies'!H251</f>
        <v>1041.96</v>
      </c>
      <c r="I251" s="48">
        <f>'National currencies'!I251</f>
        <v>2417.38</v>
      </c>
      <c r="J251" s="48">
        <f>'National currencies'!J251</f>
        <v>29008.62</v>
      </c>
      <c r="K251" s="61"/>
      <c r="L251" s="220"/>
      <c r="M251" s="62" t="str">
        <f>IF(ISBLANK(L251),"",IF(O2=0,0,M2))</f>
        <v/>
      </c>
      <c r="N251" s="49" t="str">
        <f>IF(ISBLANK(L251),"",IF(O2=0,0,N2))</f>
        <v/>
      </c>
      <c r="O251" s="63" t="str">
        <f>IF(ISBLANK(L251),"",O2)</f>
        <v/>
      </c>
      <c r="P251" s="69" t="str">
        <f>IF(ISBLANK(L251),"",IF(M251=0,0,IF(L251=1,H251+(M251-1)*H251,(H251+(L251-1)*G248)+(H251+(L251-1)*G248)*(M251-1))))</f>
        <v/>
      </c>
      <c r="Q251" s="70" t="str">
        <f>IF(ISBLANK(L251),"",IF(N251=0,0,IF(L251=1,I251+(N251-1)*I251,(I251+(L251-1)*G249)+(I251+(L251-1)*G249)*(N251-1))))</f>
        <v/>
      </c>
      <c r="R251" s="71" t="str">
        <f>IF(ISBLANK(L251),"",IF(O251=0,0,IF(L251=1,F251+(O251-1)*J251,(F251+(L251-1)*G251)+(J251+(L251-1)*G251)*(O251-1))))</f>
        <v/>
      </c>
      <c r="S251" s="64" t="str">
        <f>IF(ISBLANK(L251),"",IF(O251=0,"",P251+Q251+R251))</f>
        <v/>
      </c>
    </row>
    <row r="252" spans="1:19" x14ac:dyDescent="0.4">
      <c r="A252" s="45" t="s">
        <v>30</v>
      </c>
      <c r="B252" s="46" t="s">
        <v>108</v>
      </c>
      <c r="C252" s="46" t="s">
        <v>2</v>
      </c>
      <c r="D252" s="47"/>
      <c r="E252" s="67" t="str">
        <f>IF('National currencies'!E252="","",'National currencies'!E252)</f>
        <v>B.2.1.1 / B.2.2.1</v>
      </c>
      <c r="F252" s="66">
        <f>'National currencies'!F252</f>
        <v>868.32</v>
      </c>
      <c r="G252" s="65">
        <f>'National currencies'!G252</f>
        <v>0</v>
      </c>
      <c r="H252" s="66">
        <f>'National currencies'!H252</f>
        <v>868.32</v>
      </c>
      <c r="I252" s="48"/>
      <c r="J252" s="48"/>
      <c r="K252" s="61"/>
      <c r="L252" s="220"/>
      <c r="M252" s="62" t="str">
        <f>IF(ISBLANK(L252),"",IF((N2+O2)&gt;0,0,M2))</f>
        <v/>
      </c>
      <c r="N252" s="49"/>
      <c r="O252" s="63"/>
      <c r="P252" s="69" t="str">
        <f>IF(ISBLANK(L252),"",IF(M252=0,0,IF(L252=1,F252+(M252-1)*H252,(F252+(L252-1)*G252)+(H252+(L252-1)*G252)*(M252-1))))</f>
        <v/>
      </c>
      <c r="Q252" s="70"/>
      <c r="R252" s="71"/>
      <c r="S252" s="64" t="str">
        <f>IF(ISBLANK(L252),"",IF(M252=0,"",P252))</f>
        <v/>
      </c>
    </row>
    <row r="253" spans="1:19" x14ac:dyDescent="0.4">
      <c r="A253" s="45" t="s">
        <v>30</v>
      </c>
      <c r="B253" s="46" t="s">
        <v>109</v>
      </c>
      <c r="C253" s="46" t="s">
        <v>2</v>
      </c>
      <c r="D253" s="47"/>
      <c r="E253" s="67" t="str">
        <f>IF('National currencies'!E253="","",'National currencies'!E253)</f>
        <v>B.2.1.5 / B.2.2.5</v>
      </c>
      <c r="F253" s="66">
        <f>'National currencies'!F253</f>
        <v>2014.39</v>
      </c>
      <c r="G253" s="65">
        <f>'National currencies'!G253</f>
        <v>0</v>
      </c>
      <c r="H253" s="66">
        <f>'National currencies'!H253</f>
        <v>868.32</v>
      </c>
      <c r="I253" s="48">
        <f>'National currencies'!I253</f>
        <v>2014.39</v>
      </c>
      <c r="J253" s="48"/>
      <c r="K253" s="61"/>
      <c r="L253" s="220"/>
      <c r="M253" s="62" t="str">
        <f>IF(ISBLANK(L253),"",IF(O2&gt;0,0,IF(N2=0,0,M2)))</f>
        <v/>
      </c>
      <c r="N253" s="49" t="str">
        <f>IF(ISBLANK(L253),"",IF(O2&gt;0,0,N2))</f>
        <v/>
      </c>
      <c r="O253" s="63"/>
      <c r="P253" s="69" t="str">
        <f>IF(ISBLANK(L253),"",IF(M253=0,0,IF(L253=1,H253+(M253-1)*H253,(H253+(L253-1)*G252)+(H253+(L253-1)*G252)*(M253-1))))</f>
        <v/>
      </c>
      <c r="Q253" s="70" t="str">
        <f>IF(ISBLANK(L253),"",IF(N253=0,0,IF(L253=1,F253+(N253-1)*I253,(F253+(L253-1)*G253)+(I253+(L253-1)*G253)*(N253-1))))</f>
        <v/>
      </c>
      <c r="R253" s="71"/>
      <c r="S253" s="64" t="str">
        <f>IF(ISBLANK(L253),"",IF(N253=0,"",P253+Q253))</f>
        <v/>
      </c>
    </row>
    <row r="254" spans="1:19" x14ac:dyDescent="0.4">
      <c r="A254" s="45" t="s">
        <v>30</v>
      </c>
      <c r="B254" s="46" t="s">
        <v>110</v>
      </c>
      <c r="C254" s="46" t="s">
        <v>2</v>
      </c>
      <c r="D254" s="56" t="s">
        <v>435</v>
      </c>
      <c r="E254" s="67" t="str">
        <f>IF('National currencies'!E254="","",'National currencies'!E254)</f>
        <v>B.2.1.13 / B.2.2.13</v>
      </c>
      <c r="F254" s="66">
        <f>'National currencies'!F254</f>
        <v>12086.95</v>
      </c>
      <c r="G254" s="65">
        <f>'National currencies'!G254</f>
        <v>0</v>
      </c>
      <c r="H254" s="66">
        <f>'National currencies'!H254</f>
        <v>868.32</v>
      </c>
      <c r="I254" s="48">
        <f>'National currencies'!I254</f>
        <v>2014.39</v>
      </c>
      <c r="J254" s="48">
        <f>'National currencies'!J254</f>
        <v>12086.95</v>
      </c>
      <c r="K254" s="61"/>
      <c r="L254" s="220"/>
      <c r="M254" s="62" t="str">
        <f>IF(ISBLANK(L254),"",IF(O2=0,0,M2))</f>
        <v/>
      </c>
      <c r="N254" s="49" t="str">
        <f>IF(ISBLANK(L254),"",IF(O2=0,0,N2))</f>
        <v/>
      </c>
      <c r="O254" s="63" t="str">
        <f>IF(ISBLANK(L254),"",O2)</f>
        <v/>
      </c>
      <c r="P254" s="69" t="str">
        <f>IF(ISBLANK(L254),"",IF(M254=0,0,IF(L254=1,H254+(M254-1)*H254,(H254+(L254-1)*G252)+(H254+(L254-1)*G252)*(M254-1))))</f>
        <v/>
      </c>
      <c r="Q254" s="70" t="str">
        <f>IF(ISBLANK(L254),"",IF(N254=0,0,IF(L254=1,I254+(N254-1)*I254,(I254+(L254-1)*G253)+(I254+(L254-1)*G253)*(N254-1))))</f>
        <v/>
      </c>
      <c r="R254" s="71" t="str">
        <f>IF(ISBLANK(L254),"",IF(O254=0,0,IF(L254=1,F254+(O254-1)*J254,(F254+(L254-1)*G254)+(J254+(L254-1)*G254)*(O254-1))))</f>
        <v/>
      </c>
      <c r="S254" s="64" t="str">
        <f>IF(ISBLANK(L254),"",IF(O254=0,"",P254+Q254+R254))</f>
        <v/>
      </c>
    </row>
    <row r="255" spans="1:19" x14ac:dyDescent="0.4">
      <c r="A255" s="45" t="s">
        <v>30</v>
      </c>
      <c r="B255" s="46" t="s">
        <v>110</v>
      </c>
      <c r="C255" s="46" t="s">
        <v>2</v>
      </c>
      <c r="D255" s="47" t="s">
        <v>29</v>
      </c>
      <c r="E255" s="67" t="str">
        <f>IF('National currencies'!E255="","",'National currencies'!E255)</f>
        <v>B.2.1.9 / B.2.2.9</v>
      </c>
      <c r="F255" s="66">
        <f>'National currencies'!F255</f>
        <v>24173.87</v>
      </c>
      <c r="G255" s="65">
        <f>'National currencies'!G255</f>
        <v>0</v>
      </c>
      <c r="H255" s="66">
        <f>'National currencies'!H255</f>
        <v>868.32</v>
      </c>
      <c r="I255" s="48">
        <f>'National currencies'!I255</f>
        <v>2014.39</v>
      </c>
      <c r="J255" s="48">
        <f>'National currencies'!J255</f>
        <v>24173.87</v>
      </c>
      <c r="K255" s="61"/>
      <c r="L255" s="220"/>
      <c r="M255" s="62" t="str">
        <f>IF(ISBLANK(L255),"",IF(O2=0,0,M2))</f>
        <v/>
      </c>
      <c r="N255" s="49" t="str">
        <f>IF(ISBLANK(L255),"",IF(O2=0,0,N2))</f>
        <v/>
      </c>
      <c r="O255" s="63" t="str">
        <f>IF(ISBLANK(L255),"",O2)</f>
        <v/>
      </c>
      <c r="P255" s="69" t="str">
        <f>IF(ISBLANK(L255),"",IF(M255=0,0,IF(L255=1,H255+(M255-1)*H255,(H255+(L255-1)*G252)+(H255+(L255-1)*G252)*(M255-1))))</f>
        <v/>
      </c>
      <c r="Q255" s="70" t="str">
        <f>IF(ISBLANK(L255),"",IF(N255=0,0,IF(L255=1,I255+(N255-1)*I255,(I255+(L255-1)*G253)+(I255+(L255-1)*G253)*(N255-1))))</f>
        <v/>
      </c>
      <c r="R255" s="71" t="str">
        <f>IF(ISBLANK(L255),"",IF(O255=0,0,IF(L255=1,F255+(O255-1)*J255,(F255+(L255-1)*G255)+(J255+(L255-1)*G255)*(O255-1))))</f>
        <v/>
      </c>
      <c r="S255" s="64" t="str">
        <f>IF(ISBLANK(L255),"",IF(O255=0,"",P255+Q255+R255))</f>
        <v/>
      </c>
    </row>
    <row r="256" spans="1:19" x14ac:dyDescent="0.4">
      <c r="A256" s="45" t="s">
        <v>30</v>
      </c>
      <c r="B256" s="46" t="s">
        <v>108</v>
      </c>
      <c r="C256" s="46" t="s">
        <v>0</v>
      </c>
      <c r="D256" s="47"/>
      <c r="E256" s="67" t="str">
        <f>IF('National currencies'!E256="","",'National currencies'!E256)</f>
        <v>B.2.1.1 / B.2.2.1</v>
      </c>
      <c r="F256" s="66">
        <f>'National currencies'!F256</f>
        <v>868.32</v>
      </c>
      <c r="G256" s="65">
        <f>'National currencies'!G256</f>
        <v>0</v>
      </c>
      <c r="H256" s="66">
        <f>'National currencies'!H256</f>
        <v>868.32</v>
      </c>
      <c r="I256" s="48"/>
      <c r="J256" s="48"/>
      <c r="K256" s="61"/>
      <c r="L256" s="220"/>
      <c r="M256" s="62" t="str">
        <f>IF(ISBLANK(L256),"",IF((N2+O2)&gt;0,0,M2))</f>
        <v/>
      </c>
      <c r="N256" s="49"/>
      <c r="O256" s="63"/>
      <c r="P256" s="69" t="str">
        <f>IF(ISBLANK(L256),"",IF(M256=0,0,IF(L256=1,F256+(M256-1)*H256,(F256+(L256-1)*G256)+(H256+(L256-1)*G256)*(M256-1))))</f>
        <v/>
      </c>
      <c r="Q256" s="70"/>
      <c r="R256" s="71"/>
      <c r="S256" s="64" t="str">
        <f>IF(ISBLANK(L256),"",IF(M256=0,"",P256))</f>
        <v/>
      </c>
    </row>
    <row r="257" spans="1:19" x14ac:dyDescent="0.4">
      <c r="A257" s="45" t="s">
        <v>30</v>
      </c>
      <c r="B257" s="46" t="s">
        <v>109</v>
      </c>
      <c r="C257" s="46" t="s">
        <v>0</v>
      </c>
      <c r="D257" s="47"/>
      <c r="E257" s="67" t="str">
        <f>IF('National currencies'!E257="","",'National currencies'!E257)</f>
        <v>B.2.1.5 / B.2.2.5</v>
      </c>
      <c r="F257" s="66">
        <f>'National currencies'!F257</f>
        <v>2014.39</v>
      </c>
      <c r="G257" s="65">
        <f>'National currencies'!G257</f>
        <v>0</v>
      </c>
      <c r="H257" s="66">
        <f>'National currencies'!H257</f>
        <v>868.32</v>
      </c>
      <c r="I257" s="48">
        <f>'National currencies'!I257</f>
        <v>2014.39</v>
      </c>
      <c r="J257" s="48"/>
      <c r="K257" s="61"/>
      <c r="L257" s="220"/>
      <c r="M257" s="62" t="str">
        <f>IF(ISBLANK(L257),"",IF(O2&gt;0,0,IF(N2=0,0,M2)))</f>
        <v/>
      </c>
      <c r="N257" s="49" t="str">
        <f>IF(ISBLANK(L257),"",IF(O2&gt;0,0,N2))</f>
        <v/>
      </c>
      <c r="O257" s="63"/>
      <c r="P257" s="69" t="str">
        <f>IF(ISBLANK(L257),"",IF(M257=0,0,IF(L257=1,H257+(M257-1)*H257,(H257+(L257-1)*G256)+(H257+(L257-1)*G256)*(M257-1))))</f>
        <v/>
      </c>
      <c r="Q257" s="70" t="str">
        <f>IF(ISBLANK(L257),"",IF(N257=0,0,IF(L257=1,F257+(N257-1)*I257,(F257+(L257-1)*G257)+(I257+(L257-1)*G257)*(N257-1))))</f>
        <v/>
      </c>
      <c r="R257" s="71"/>
      <c r="S257" s="64" t="str">
        <f>IF(ISBLANK(L257),"",IF(N257=0,"",P257+Q257))</f>
        <v/>
      </c>
    </row>
    <row r="258" spans="1:19" x14ac:dyDescent="0.4">
      <c r="A258" s="45" t="s">
        <v>30</v>
      </c>
      <c r="B258" s="46" t="s">
        <v>110</v>
      </c>
      <c r="C258" s="46" t="s">
        <v>0</v>
      </c>
      <c r="D258" s="56" t="s">
        <v>435</v>
      </c>
      <c r="E258" s="67" t="str">
        <f>IF('National currencies'!E258="","",'National currencies'!E258)</f>
        <v>B.2.1.13 / B.2.2.13</v>
      </c>
      <c r="F258" s="66">
        <f>'National currencies'!F258</f>
        <v>12086.95</v>
      </c>
      <c r="G258" s="65">
        <f>'National currencies'!G258</f>
        <v>0</v>
      </c>
      <c r="H258" s="66">
        <f>'National currencies'!H258</f>
        <v>868.32</v>
      </c>
      <c r="I258" s="48">
        <f>'National currencies'!I258</f>
        <v>2014.39</v>
      </c>
      <c r="J258" s="48">
        <f>'National currencies'!J258</f>
        <v>12086.95</v>
      </c>
      <c r="K258" s="61"/>
      <c r="L258" s="220"/>
      <c r="M258" s="62" t="str">
        <f>IF(ISBLANK(L258),"",IF(O2=0,0,M2))</f>
        <v/>
      </c>
      <c r="N258" s="49" t="str">
        <f>IF(ISBLANK(L258),"",IF(O2=0,0,N2))</f>
        <v/>
      </c>
      <c r="O258" s="63" t="str">
        <f>IF(ISBLANK(L258),"",O2)</f>
        <v/>
      </c>
      <c r="P258" s="69" t="str">
        <f>IF(ISBLANK(L258),"",IF(M258=0,0,IF(L258=1,H258+(M258-1)*H258,(H258+(L258-1)*G256)+(H258+(L258-1)*G256)*(M258-1))))</f>
        <v/>
      </c>
      <c r="Q258" s="70" t="str">
        <f>IF(ISBLANK(L258),"",IF(N258=0,0,IF(L258=1,I258+(N258-1)*I258,(I258+(L258-1)*G257)+(I258+(L258-1)*G257)*(N258-1))))</f>
        <v/>
      </c>
      <c r="R258" s="71" t="str">
        <f>IF(ISBLANK(L258),"",IF(O258=0,0,IF(L258=1,F258+(O258-1)*J258,(F258+(L258-1)*G258)+(J258+(L258-1)*G258)*(O258-1))))</f>
        <v/>
      </c>
      <c r="S258" s="64" t="str">
        <f>IF(ISBLANK(L258),"",IF(O258=0,"",P258+Q258+R258))</f>
        <v/>
      </c>
    </row>
    <row r="259" spans="1:19" x14ac:dyDescent="0.4">
      <c r="A259" s="45" t="s">
        <v>30</v>
      </c>
      <c r="B259" s="46" t="s">
        <v>110</v>
      </c>
      <c r="C259" s="46" t="s">
        <v>0</v>
      </c>
      <c r="D259" s="47" t="s">
        <v>29</v>
      </c>
      <c r="E259" s="67" t="str">
        <f>IF('National currencies'!E259="","",'National currencies'!E259)</f>
        <v>B.2.1.9 / B.2.2.9</v>
      </c>
      <c r="F259" s="66">
        <f>'National currencies'!F259</f>
        <v>24173.87</v>
      </c>
      <c r="G259" s="65">
        <f>'National currencies'!G259</f>
        <v>0</v>
      </c>
      <c r="H259" s="66">
        <f>'National currencies'!H259</f>
        <v>868.32</v>
      </c>
      <c r="I259" s="48">
        <f>'National currencies'!I259</f>
        <v>2014.39</v>
      </c>
      <c r="J259" s="48">
        <f>'National currencies'!J259</f>
        <v>24173.87</v>
      </c>
      <c r="K259" s="61"/>
      <c r="L259" s="220"/>
      <c r="M259" s="62" t="str">
        <f>IF(ISBLANK(L259),"",IF(O2=0,0,M2))</f>
        <v/>
      </c>
      <c r="N259" s="49" t="str">
        <f>IF(ISBLANK(L259),"",IF(O2=0,0,N2))</f>
        <v/>
      </c>
      <c r="O259" s="63" t="str">
        <f>IF(ISBLANK(L259),"",O2)</f>
        <v/>
      </c>
      <c r="P259" s="69" t="str">
        <f>IF(ISBLANK(L259),"",IF(M259=0,0,IF(L259=1,H259+(M259-1)*H259,(H259+(L259-1)*G256)+(H259+(L259-1)*G256)*(M259-1))))</f>
        <v/>
      </c>
      <c r="Q259" s="70" t="str">
        <f>IF(ISBLANK(L259),"",IF(N259=0,0,IF(L259=1,I259+(N259-1)*I259,(I259+(L259-1)*G257)+(I259+(L259-1)*G257)*(N259-1))))</f>
        <v/>
      </c>
      <c r="R259" s="71" t="str">
        <f>IF(ISBLANK(L259),"",IF(O259=0,0,IF(L259=1,F259+(O259-1)*J259,(F259+(L259-1)*G259)+(J259+(L259-1)*G259)*(O259-1))))</f>
        <v/>
      </c>
      <c r="S259" s="64" t="str">
        <f>IF(ISBLANK(L259),"",IF(O259=0,"",P259+Q259+R259))</f>
        <v/>
      </c>
    </row>
    <row r="260" spans="1:19" x14ac:dyDescent="0.4">
      <c r="A260" s="45" t="s">
        <v>80</v>
      </c>
      <c r="B260" s="46" t="s">
        <v>108</v>
      </c>
      <c r="C260" s="46" t="s">
        <v>1</v>
      </c>
      <c r="D260" s="51"/>
      <c r="E260" s="67" t="str">
        <f>IF('National currencies'!E260="","",'National currencies'!E260)</f>
        <v>4.53/3.1</v>
      </c>
      <c r="F260" s="66">
        <f>'National currencies'!F260</f>
        <v>200</v>
      </c>
      <c r="G260" s="65">
        <f>'National currencies'!G260</f>
        <v>0</v>
      </c>
      <c r="H260" s="66">
        <f>'National currencies'!H260</f>
        <v>30</v>
      </c>
      <c r="I260" s="48"/>
      <c r="J260" s="48"/>
      <c r="K260" s="61"/>
      <c r="L260" s="220"/>
      <c r="M260" s="62" t="str">
        <f>IF(ISBLANK(L260),"",IF((N2+O2)&gt;0,0,M2))</f>
        <v/>
      </c>
      <c r="N260" s="49"/>
      <c r="O260" s="63"/>
      <c r="P260" s="69" t="str">
        <f>IF(ISBLANK(L260),"",IF(M260=0,0,IF(L260=1,F260+(M260-1)*H260,(F260+(L260-1)*G260)+(H260+(L260-1)*G260)*(M260-1))))</f>
        <v/>
      </c>
      <c r="Q260" s="70"/>
      <c r="R260" s="71"/>
      <c r="S260" s="64" t="str">
        <f>IF(ISBLANK(L260),"",IF(M260=0,"",P260))</f>
        <v/>
      </c>
    </row>
    <row r="261" spans="1:19" x14ac:dyDescent="0.4">
      <c r="A261" s="45" t="s">
        <v>80</v>
      </c>
      <c r="B261" s="46" t="s">
        <v>109</v>
      </c>
      <c r="C261" s="46" t="s">
        <v>1</v>
      </c>
      <c r="D261" s="51"/>
      <c r="E261" s="67" t="str">
        <f>IF('National currencies'!E261="","",'National currencies'!E261)</f>
        <v>4.54/3.2</v>
      </c>
      <c r="F261" s="66">
        <f>'National currencies'!F261</f>
        <v>800</v>
      </c>
      <c r="G261" s="65">
        <f>'National currencies'!G261</f>
        <v>0</v>
      </c>
      <c r="H261" s="66">
        <f>'National currencies'!H261</f>
        <v>30</v>
      </c>
      <c r="I261" s="48">
        <f>'National currencies'!I261</f>
        <v>40</v>
      </c>
      <c r="J261" s="48"/>
      <c r="K261" s="61"/>
      <c r="L261" s="220"/>
      <c r="M261" s="62" t="str">
        <f>IF(ISBLANK(L261),"",IF(O2&gt;0,0,IF(N2=0,0,M2)))</f>
        <v/>
      </c>
      <c r="N261" s="49" t="str">
        <f>IF(ISBLANK(L261),"",IF(O2&gt;0,0,N2))</f>
        <v/>
      </c>
      <c r="O261" s="63"/>
      <c r="P261" s="69" t="str">
        <f>IF(ISBLANK(L261),"",IF(M261=0,0,IF(L261=1,H261+(M261-1)*H261,(H261+(L261-1)*G260)+(H261+(L261-1)*G260)*(M261-1))))</f>
        <v/>
      </c>
      <c r="Q261" s="70" t="str">
        <f>IF(ISBLANK(L261),"",IF(N261=0,0,IF(L261=1,F261+(N261-1)*I261,(F261+(L261-1)*G261)+(I261+(L261-1)*G261)*(N261-1))))</f>
        <v/>
      </c>
      <c r="R261" s="71"/>
      <c r="S261" s="64" t="str">
        <f>IF(ISBLANK(L261),"",IF(N261=0,"",P261+Q261))</f>
        <v/>
      </c>
    </row>
    <row r="262" spans="1:19" x14ac:dyDescent="0.4">
      <c r="A262" s="45" t="s">
        <v>80</v>
      </c>
      <c r="B262" s="46" t="s">
        <v>110</v>
      </c>
      <c r="C262" s="46" t="s">
        <v>1</v>
      </c>
      <c r="D262" s="51"/>
      <c r="E262" s="67" t="str">
        <f>IF('National currencies'!E262="","",'National currencies'!E262)</f>
        <v>4.55/3.3</v>
      </c>
      <c r="F262" s="66">
        <f>'National currencies'!F262</f>
        <v>2000</v>
      </c>
      <c r="G262" s="65">
        <f>'National currencies'!G262</f>
        <v>0</v>
      </c>
      <c r="H262" s="66">
        <f>'National currencies'!H262</f>
        <v>30</v>
      </c>
      <c r="I262" s="48">
        <f>'National currencies'!I262</f>
        <v>40</v>
      </c>
      <c r="J262" s="48">
        <f>'National currencies'!J262</f>
        <v>50</v>
      </c>
      <c r="K262" s="61"/>
      <c r="L262" s="220"/>
      <c r="M262" s="62" t="str">
        <f>IF(ISBLANK(L262),"",IF(O2=0,0,M2))</f>
        <v/>
      </c>
      <c r="N262" s="49" t="str">
        <f>IF(ISBLANK(L262),"",IF(O2=0,0,N2))</f>
        <v/>
      </c>
      <c r="O262" s="63" t="str">
        <f>IF(ISBLANK(L262),"",O2)</f>
        <v/>
      </c>
      <c r="P262" s="69" t="str">
        <f>IF(ISBLANK(L262),"",IF(M262=0,0,IF(L262=1,H262+(M262-1)*H262,(H262+(L262-1)*G260)+(H262+(L262-1)*G260)*(M262-1))))</f>
        <v/>
      </c>
      <c r="Q262" s="70" t="str">
        <f>IF(ISBLANK(L262),"",IF(N262=0,0,IF(L262=1,I262+(N262-1)*I262,(I262+(L262-1)*G261)+(I262+(L262-1)*G261)*(N262-1))))</f>
        <v/>
      </c>
      <c r="R262" s="71" t="str">
        <f>IF(ISBLANK(L262),"",IF(O262=0,0,IF(L262=1,F262+(O262-1)*J262,(F262+(L262-1)*G262)+(J262+(L262-1)*G262)*(O262-1))))</f>
        <v/>
      </c>
      <c r="S262" s="64" t="str">
        <f>IF(ISBLANK(L262),"",IF(O262=0,"",P262+Q262+R262))</f>
        <v/>
      </c>
    </row>
    <row r="263" spans="1:19" x14ac:dyDescent="0.4">
      <c r="A263" s="45" t="s">
        <v>80</v>
      </c>
      <c r="B263" s="46" t="s">
        <v>110</v>
      </c>
      <c r="C263" s="46" t="s">
        <v>1</v>
      </c>
      <c r="D263" s="54" t="s">
        <v>145</v>
      </c>
      <c r="E263" s="67" t="str">
        <f>IF('National currencies'!E263="","",'National currencies'!E263)</f>
        <v>4.56/3.4</v>
      </c>
      <c r="F263" s="66">
        <f>'National currencies'!F263</f>
        <v>3000</v>
      </c>
      <c r="G263" s="65">
        <f>'National currencies'!G263</f>
        <v>0</v>
      </c>
      <c r="H263" s="66">
        <f>'National currencies'!H263</f>
        <v>30</v>
      </c>
      <c r="I263" s="48">
        <f>'National currencies'!I263</f>
        <v>40</v>
      </c>
      <c r="J263" s="48">
        <f>'National currencies'!J263</f>
        <v>50</v>
      </c>
      <c r="K263" s="61"/>
      <c r="L263" s="220"/>
      <c r="M263" s="62" t="str">
        <f>IF(ISBLANK(L263),"",IF(O2=0,0,M2))</f>
        <v/>
      </c>
      <c r="N263" s="49" t="str">
        <f>IF(ISBLANK(L263),"",IF(O2=0,0,N2))</f>
        <v/>
      </c>
      <c r="O263" s="63" t="str">
        <f>IF(ISBLANK(L263),"",O2)</f>
        <v/>
      </c>
      <c r="P263" s="69" t="str">
        <f>IF(ISBLANK(L263),"",IF(M263=0,0,IF(L263=1,H263+(M263-1)*H263,(H263+(L263-1)*G261)+(H263+(L263-1)*G261)*(M263-1))))</f>
        <v/>
      </c>
      <c r="Q263" s="70" t="str">
        <f>IF(ISBLANK(L263),"",IF(N263=0,0,IF(L263=1,I263+(N263-1)*I263,(I263+(L263-1)*G262)+(I263+(L263-1)*G262)*(N263-1))))</f>
        <v/>
      </c>
      <c r="R263" s="71" t="str">
        <f>IF(ISBLANK(L263),"",IF(O263=0,0,IF(L263=1,F263+(O263-1)*J263,(F263+(L263-1)*G263)+(J263+(L263-1)*G263)*(O263-1))))</f>
        <v/>
      </c>
      <c r="S263" s="64" t="str">
        <f>IF(ISBLANK(L263),"",IF(O263=0,"",P263+Q263+R263))</f>
        <v/>
      </c>
    </row>
    <row r="264" spans="1:19" x14ac:dyDescent="0.4">
      <c r="A264" s="45" t="s">
        <v>80</v>
      </c>
      <c r="B264" s="46" t="s">
        <v>108</v>
      </c>
      <c r="C264" s="46" t="s">
        <v>2</v>
      </c>
      <c r="D264" s="51"/>
      <c r="E264" s="67" t="str">
        <f>IF('National currencies'!E264="","",'National currencies'!E264)</f>
        <v>4.53/3.1</v>
      </c>
      <c r="F264" s="66">
        <f>'National currencies'!F264</f>
        <v>73</v>
      </c>
      <c r="G264" s="65">
        <f>'National currencies'!G264</f>
        <v>0</v>
      </c>
      <c r="H264" s="66">
        <f>'National currencies'!H264</f>
        <v>30</v>
      </c>
      <c r="I264" s="48"/>
      <c r="J264" s="48"/>
      <c r="K264" s="61"/>
      <c r="L264" s="220"/>
      <c r="M264" s="62" t="str">
        <f>IF(ISBLANK(L264),"",IF((N2+O2)&gt;0,0,M2))</f>
        <v/>
      </c>
      <c r="N264" s="49"/>
      <c r="O264" s="63"/>
      <c r="P264" s="69" t="str">
        <f>IF(ISBLANK(L264),"",IF(M264=0,0,IF(L264=1,F264+(M264-1)*H264,(F264+(L264-1)*G264)+(H264+(L264-1)*G264)*(M264-1))))</f>
        <v/>
      </c>
      <c r="Q264" s="70"/>
      <c r="R264" s="71"/>
      <c r="S264" s="64" t="str">
        <f>IF(ISBLANK(L264),"",IF(M264=0,"",P264))</f>
        <v/>
      </c>
    </row>
    <row r="265" spans="1:19" x14ac:dyDescent="0.4">
      <c r="A265" s="45" t="s">
        <v>80</v>
      </c>
      <c r="B265" s="46" t="s">
        <v>109</v>
      </c>
      <c r="C265" s="46" t="s">
        <v>2</v>
      </c>
      <c r="D265" s="51"/>
      <c r="E265" s="67" t="str">
        <f>IF('National currencies'!E265="","",'National currencies'!E265)</f>
        <v>4.54/3.2</v>
      </c>
      <c r="F265" s="66">
        <f>'National currencies'!F265</f>
        <v>215</v>
      </c>
      <c r="G265" s="65">
        <f>'National currencies'!G265</f>
        <v>0</v>
      </c>
      <c r="H265" s="66">
        <f>'National currencies'!H265</f>
        <v>30</v>
      </c>
      <c r="I265" s="48">
        <f>'National currencies'!I265</f>
        <v>30</v>
      </c>
      <c r="J265" s="48"/>
      <c r="K265" s="61"/>
      <c r="L265" s="220"/>
      <c r="M265" s="62" t="str">
        <f>IF(ISBLANK(L265),"",IF(O2&gt;0,0,IF(N2=0,0,M2)))</f>
        <v/>
      </c>
      <c r="N265" s="49" t="str">
        <f>IF(ISBLANK(L265),"",IF(O2&gt;0,0,N2))</f>
        <v/>
      </c>
      <c r="O265" s="63"/>
      <c r="P265" s="69" t="str">
        <f>IF(ISBLANK(L265),"",IF(M265=0,0,IF(L265=1,H265+(M265-1)*H265,(H265+(L265-1)*G264)+(H265+(L265-1)*G264)*(M265-1))))</f>
        <v/>
      </c>
      <c r="Q265" s="70" t="str">
        <f>IF(ISBLANK(L265),"",IF(N265=0,0,IF(L265=1,F265+(N265-1)*I265,(F265+(L265-1)*G265)+(I265+(L265-1)*G265)*(N265-1))))</f>
        <v/>
      </c>
      <c r="R265" s="71"/>
      <c r="S265" s="64" t="str">
        <f>IF(ISBLANK(L265),"",IF(N265=0,"",P265+Q265))</f>
        <v/>
      </c>
    </row>
    <row r="266" spans="1:19" x14ac:dyDescent="0.4">
      <c r="A266" s="45" t="s">
        <v>80</v>
      </c>
      <c r="B266" s="46" t="s">
        <v>110</v>
      </c>
      <c r="C266" s="46" t="s">
        <v>2</v>
      </c>
      <c r="D266" s="51"/>
      <c r="E266" s="67" t="str">
        <f>IF('National currencies'!E266="","",'National currencies'!E266)</f>
        <v>4.55/3.3</v>
      </c>
      <c r="F266" s="66">
        <f>'National currencies'!F266</f>
        <v>515</v>
      </c>
      <c r="G266" s="65">
        <f>'National currencies'!G266</f>
        <v>0</v>
      </c>
      <c r="H266" s="66">
        <f>'National currencies'!H266</f>
        <v>30</v>
      </c>
      <c r="I266" s="48">
        <f>'National currencies'!I266</f>
        <v>30</v>
      </c>
      <c r="J266" s="48">
        <f>'National currencies'!J266</f>
        <v>30</v>
      </c>
      <c r="K266" s="61"/>
      <c r="L266" s="220"/>
      <c r="M266" s="62" t="str">
        <f>IF(ISBLANK(L266),"",IF(O2=0,0,M2))</f>
        <v/>
      </c>
      <c r="N266" s="49" t="str">
        <f>IF(ISBLANK(L266),"",IF(O2=0,0,N2))</f>
        <v/>
      </c>
      <c r="O266" s="63" t="str">
        <f>IF(ISBLANK(L266),"",O2)</f>
        <v/>
      </c>
      <c r="P266" s="69" t="str">
        <f>IF(ISBLANK(L266),"",IF(M266=0,0,IF(L266=1,H266+(M266-1)*H266,(H266+(L266-1)*G264)+(H266+(L266-1)*G264)*(M266-1))))</f>
        <v/>
      </c>
      <c r="Q266" s="70" t="str">
        <f>IF(ISBLANK(L266),"",IF(N266=0,0,IF(L266=1,I266+(N266-1)*I266,(I266+(L266-1)*G265)+(I266+(L266-1)*G265)*(N266-1))))</f>
        <v/>
      </c>
      <c r="R266" s="71" t="str">
        <f>IF(ISBLANK(L266),"",IF(O266=0,0,IF(L266=1,F266+(O266-1)*J266,(F266+(L266-1)*G266)+(J266+(L266-1)*G266)*(O266-1))))</f>
        <v/>
      </c>
      <c r="S266" s="64" t="str">
        <f>IF(ISBLANK(L266),"",IF(O266=0,"",P266+Q266+R266))</f>
        <v/>
      </c>
    </row>
    <row r="267" spans="1:19" x14ac:dyDescent="0.4">
      <c r="A267" s="45" t="s">
        <v>80</v>
      </c>
      <c r="B267" s="46" t="s">
        <v>110</v>
      </c>
      <c r="C267" s="46" t="s">
        <v>2</v>
      </c>
      <c r="D267" s="59" t="s">
        <v>145</v>
      </c>
      <c r="E267" s="67" t="str">
        <f>IF('National currencies'!E267="","",'National currencies'!E267)</f>
        <v>4.56/3.4</v>
      </c>
      <c r="F267" s="66">
        <f>'National currencies'!F267</f>
        <v>700</v>
      </c>
      <c r="G267" s="65">
        <f>'National currencies'!G267</f>
        <v>0</v>
      </c>
      <c r="H267" s="66">
        <f>'National currencies'!H267</f>
        <v>30</v>
      </c>
      <c r="I267" s="48">
        <f>'National currencies'!I267</f>
        <v>30</v>
      </c>
      <c r="J267" s="48">
        <f>'National currencies'!J267</f>
        <v>30</v>
      </c>
      <c r="K267" s="61"/>
      <c r="L267" s="220"/>
      <c r="M267" s="62" t="str">
        <f>IF(ISBLANK(L267),"",IF(O2=0,0,M2))</f>
        <v/>
      </c>
      <c r="N267" s="49" t="str">
        <f>IF(ISBLANK(L267),"",IF(O2=0,0,N2))</f>
        <v/>
      </c>
      <c r="O267" s="63" t="str">
        <f>IF(ISBLANK(L267),"",O2)</f>
        <v/>
      </c>
      <c r="P267" s="69" t="str">
        <f>IF(ISBLANK(L267),"",IF(M267=0,0,IF(L267=1,H267+(M267-1)*H267,(H267+(L267-1)*G265)+(H267+(L267-1)*G265)*(M267-1))))</f>
        <v/>
      </c>
      <c r="Q267" s="70" t="str">
        <f>IF(ISBLANK(L267),"",IF(N267=0,0,IF(L267=1,I267+(N267-1)*I267,(I267+(L267-1)*G266)+(I267+(L267-1)*G266)*(N267-1))))</f>
        <v/>
      </c>
      <c r="R267" s="71" t="str">
        <f>IF(ISBLANK(L267),"",IF(O267=0,0,IF(L267=1,F267+(O267-1)*J267,(F267+(L267-1)*G267)+(J267+(L267-1)*G267)*(O267-1))))</f>
        <v/>
      </c>
      <c r="S267" s="64" t="str">
        <f>IF(ISBLANK(L267),"",IF(O267=0,"",P267+Q267+R267))</f>
        <v/>
      </c>
    </row>
    <row r="268" spans="1:19" x14ac:dyDescent="0.4">
      <c r="A268" s="45" t="s">
        <v>80</v>
      </c>
      <c r="B268" s="46" t="s">
        <v>108</v>
      </c>
      <c r="C268" s="46" t="s">
        <v>0</v>
      </c>
      <c r="D268" s="51"/>
      <c r="E268" s="67" t="str">
        <f>IF('National currencies'!E268="","",'National currencies'!E268)</f>
        <v>4.53/3.1</v>
      </c>
      <c r="F268" s="66">
        <f>'National currencies'!F268</f>
        <v>121</v>
      </c>
      <c r="G268" s="65">
        <f>'National currencies'!G268</f>
        <v>0</v>
      </c>
      <c r="H268" s="66">
        <f>'National currencies'!H268</f>
        <v>12</v>
      </c>
      <c r="I268" s="48"/>
      <c r="J268" s="48"/>
      <c r="K268" s="61"/>
      <c r="L268" s="220"/>
      <c r="M268" s="62" t="str">
        <f>IF(ISBLANK(L268),"",IF((N2+O2)&gt;0,0,M2))</f>
        <v/>
      </c>
      <c r="N268" s="49"/>
      <c r="O268" s="63"/>
      <c r="P268" s="69" t="str">
        <f>IF(ISBLANK(L268),"",IF(M268=0,0,IF(L268=1,F268+(M268-1)*H268,(F268+(L268-1)*G268)+(H268+(L268-1)*G268)*(M268-1))))</f>
        <v/>
      </c>
      <c r="Q268" s="70"/>
      <c r="R268" s="71"/>
      <c r="S268" s="64" t="str">
        <f>IF(ISBLANK(L268),"",IF(M268=0,"",P268))</f>
        <v/>
      </c>
    </row>
    <row r="269" spans="1:19" x14ac:dyDescent="0.4">
      <c r="A269" s="45" t="s">
        <v>80</v>
      </c>
      <c r="B269" s="46" t="s">
        <v>109</v>
      </c>
      <c r="C269" s="46" t="s">
        <v>0</v>
      </c>
      <c r="D269" s="51"/>
      <c r="E269" s="67" t="str">
        <f>IF('National currencies'!E269="","",'National currencies'!E269)</f>
        <v>4.54/3.2</v>
      </c>
      <c r="F269" s="66">
        <f>'National currencies'!F269</f>
        <v>217</v>
      </c>
      <c r="G269" s="65">
        <f>'National currencies'!G269</f>
        <v>0</v>
      </c>
      <c r="H269" s="66">
        <f>'National currencies'!H269</f>
        <v>12</v>
      </c>
      <c r="I269" s="48">
        <f>'National currencies'!I269</f>
        <v>12</v>
      </c>
      <c r="J269" s="48"/>
      <c r="K269" s="61"/>
      <c r="L269" s="220"/>
      <c r="M269" s="62" t="str">
        <f>IF(ISBLANK(L269),"",IF(O2&gt;0,0,IF(N2=0,0,M2)))</f>
        <v/>
      </c>
      <c r="N269" s="49" t="str">
        <f>IF(ISBLANK(L269),"",IF(O2&gt;0,0,N2))</f>
        <v/>
      </c>
      <c r="O269" s="63"/>
      <c r="P269" s="69" t="str">
        <f>IF(ISBLANK(L269),"",IF(M269=0,0,IF(L269=1,H269+(M269-1)*H269,(H269+(L269-1)*G268)+(H269+(L269-1)*G268)*(M269-1))))</f>
        <v/>
      </c>
      <c r="Q269" s="70" t="str">
        <f>IF(ISBLANK(L269),"",IF(N269=0,0,IF(L269=1,F269+(N269-1)*I269,(F269+(L269-1)*G269)+(I269+(L269-1)*G269)*(N269-1))))</f>
        <v/>
      </c>
      <c r="R269" s="71"/>
      <c r="S269" s="64" t="str">
        <f>IF(ISBLANK(L269),"",IF(N269=0,"",P269+Q269))</f>
        <v/>
      </c>
    </row>
    <row r="270" spans="1:19" x14ac:dyDescent="0.4">
      <c r="A270" s="45" t="s">
        <v>80</v>
      </c>
      <c r="B270" s="46" t="s">
        <v>110</v>
      </c>
      <c r="C270" s="46" t="s">
        <v>0</v>
      </c>
      <c r="D270" s="51"/>
      <c r="E270" s="67" t="str">
        <f>IF('National currencies'!E270="","",'National currencies'!E270)</f>
        <v>4.55/3.3</v>
      </c>
      <c r="F270" s="66">
        <f>'National currencies'!F270</f>
        <v>613</v>
      </c>
      <c r="G270" s="65">
        <f>'National currencies'!G270</f>
        <v>0</v>
      </c>
      <c r="H270" s="66">
        <f>'National currencies'!H270</f>
        <v>12</v>
      </c>
      <c r="I270" s="48">
        <f>'National currencies'!I270</f>
        <v>12</v>
      </c>
      <c r="J270" s="48">
        <f>'National currencies'!J270</f>
        <v>12</v>
      </c>
      <c r="K270" s="61"/>
      <c r="L270" s="220"/>
      <c r="M270" s="62" t="str">
        <f>IF(ISBLANK(L270),"",IF(O2=0,0,M2))</f>
        <v/>
      </c>
      <c r="N270" s="49" t="str">
        <f>IF(ISBLANK(L270),"",IF(O2=0,0,N2))</f>
        <v/>
      </c>
      <c r="O270" s="63" t="str">
        <f>IF(ISBLANK(L270),"",O2)</f>
        <v/>
      </c>
      <c r="P270" s="69" t="str">
        <f>IF(ISBLANK(L270),"",IF(M270=0,0,IF(L270=1,H270+(M270-1)*H270,(H270+(L270-1)*G268)+(H270+(L270-1)*G268)*(M270-1))))</f>
        <v/>
      </c>
      <c r="Q270" s="70" t="str">
        <f>IF(ISBLANK(L270),"",IF(N270=0,0,IF(L270=1,I270+(N270-1)*I270,(I270+(L270-1)*G269)+(I270+(L270-1)*G269)*(N270-1))))</f>
        <v/>
      </c>
      <c r="R270" s="71" t="str">
        <f>IF(ISBLANK(L270),"",IF(O270=0,0,IF(L270=1,F270+(O270-1)*J270,(F270+(L270-1)*G270)+(J270+(L270-1)*G270)*(O270-1))))</f>
        <v/>
      </c>
      <c r="S270" s="64" t="str">
        <f>IF(ISBLANK(L270),"",IF(O270=0,"",P270+Q270+R270))</f>
        <v/>
      </c>
    </row>
    <row r="271" spans="1:19" x14ac:dyDescent="0.4">
      <c r="A271" s="45" t="s">
        <v>80</v>
      </c>
      <c r="B271" s="46" t="s">
        <v>110</v>
      </c>
      <c r="C271" s="46" t="s">
        <v>0</v>
      </c>
      <c r="D271" s="59" t="s">
        <v>145</v>
      </c>
      <c r="E271" s="67" t="str">
        <f>IF('National currencies'!E271="","",'National currencies'!E271)</f>
        <v>4.56/3.4</v>
      </c>
      <c r="F271" s="66">
        <f>'National currencies'!F271</f>
        <v>845</v>
      </c>
      <c r="G271" s="65">
        <f>'National currencies'!G271</f>
        <v>0</v>
      </c>
      <c r="H271" s="66">
        <f>'National currencies'!H271</f>
        <v>12</v>
      </c>
      <c r="I271" s="48">
        <f>'National currencies'!I271</f>
        <v>12</v>
      </c>
      <c r="J271" s="48">
        <f>'National currencies'!J271</f>
        <v>12</v>
      </c>
      <c r="K271" s="61"/>
      <c r="L271" s="220"/>
      <c r="M271" s="62" t="str">
        <f>IF(ISBLANK(L271),"",IF(O2=0,0,M2))</f>
        <v/>
      </c>
      <c r="N271" s="49" t="str">
        <f>IF(ISBLANK(L271),"",IF(O2=0,0,N2))</f>
        <v/>
      </c>
      <c r="O271" s="63" t="str">
        <f>IF(ISBLANK(L271),"",O2)</f>
        <v/>
      </c>
      <c r="P271" s="69" t="str">
        <f>IF(ISBLANK(L271),"",IF(M271=0,0,IF(L271=1,H271+(M271-1)*H271,(H271+(L271-1)*G269)+(H271+(L271-1)*G269)*(M271-1))))</f>
        <v/>
      </c>
      <c r="Q271" s="70" t="str">
        <f>IF(ISBLANK(L271),"",IF(N271=0,0,IF(L271=1,I271+(N271-1)*I271,(I271+(L271-1)*G270)+(I271+(L271-1)*G270)*(N271-1))))</f>
        <v/>
      </c>
      <c r="R271" s="71" t="str">
        <f>IF(ISBLANK(L271),"",IF(O271=0,0,IF(L271=1,F271+(O271-1)*J271,(F271+(L271-1)*G271)+(J271+(L271-1)*G271)*(O271-1))))</f>
        <v/>
      </c>
      <c r="S271" s="64" t="str">
        <f>IF(ISBLANK(L271),"",IF(O271=0,"",P271+Q271+R271))</f>
        <v/>
      </c>
    </row>
    <row r="272" spans="1:19" x14ac:dyDescent="0.4">
      <c r="A272" s="45" t="s">
        <v>32</v>
      </c>
      <c r="B272" s="46" t="s">
        <v>108</v>
      </c>
      <c r="C272" s="46" t="s">
        <v>1</v>
      </c>
      <c r="D272" s="47"/>
      <c r="E272" s="67" t="str">
        <f>IF('National currencies'!E272="","",'National currencies'!E272)</f>
        <v/>
      </c>
      <c r="F272" s="66">
        <f>'National currencies'!F272</f>
        <v>50</v>
      </c>
      <c r="G272" s="65">
        <f>'National currencies'!G272</f>
        <v>50</v>
      </c>
      <c r="H272" s="66">
        <f>'National currencies'!H272</f>
        <v>50</v>
      </c>
      <c r="I272" s="48"/>
      <c r="J272" s="48"/>
      <c r="K272" s="61"/>
      <c r="L272" s="220"/>
      <c r="M272" s="62" t="str">
        <f>IF(ISBLANK(L272),"",IF((N2+O2)&gt;0,0,M2))</f>
        <v/>
      </c>
      <c r="N272" s="49"/>
      <c r="O272" s="63"/>
      <c r="P272" s="69" t="str">
        <f>IF(ISBLANK(L272),"",IF(M272=0,0,IF(L272=1,F272+(M272-1)*H272,(F272+(L272-1)*G272)+(H272+(L272-1)*G272)*(M272-1))))</f>
        <v/>
      </c>
      <c r="Q272" s="70"/>
      <c r="R272" s="71"/>
      <c r="S272" s="64" t="str">
        <f>IF(ISBLANK(L272),"",IF(M272=0,"",P272))</f>
        <v/>
      </c>
    </row>
    <row r="273" spans="1:19" x14ac:dyDescent="0.4">
      <c r="A273" s="45" t="s">
        <v>32</v>
      </c>
      <c r="B273" s="46" t="s">
        <v>109</v>
      </c>
      <c r="C273" s="46" t="s">
        <v>1</v>
      </c>
      <c r="D273" s="47"/>
      <c r="E273" s="67" t="str">
        <f>IF('National currencies'!E273="","",'National currencies'!E273)</f>
        <v/>
      </c>
      <c r="F273" s="66">
        <f>'National currencies'!F273</f>
        <v>50</v>
      </c>
      <c r="G273" s="65">
        <f>'National currencies'!G273</f>
        <v>50</v>
      </c>
      <c r="H273" s="66">
        <f>'National currencies'!H273</f>
        <v>50</v>
      </c>
      <c r="I273" s="48">
        <f>'National currencies'!I273</f>
        <v>50</v>
      </c>
      <c r="J273" s="48"/>
      <c r="K273" s="61"/>
      <c r="L273" s="220"/>
      <c r="M273" s="62" t="str">
        <f>IF(ISBLANK(L273),"",IF(O2&gt;0,0,IF(N2=0,0,M2)))</f>
        <v/>
      </c>
      <c r="N273" s="49" t="str">
        <f>IF(ISBLANK(L273),"",IF(O2&gt;0,0,N2))</f>
        <v/>
      </c>
      <c r="O273" s="63"/>
      <c r="P273" s="69" t="str">
        <f>IF(ISBLANK(L273),"",IF(M273=0,0,IF(L273=1,H273+(M273-1)*H273,(H273+(L273-1)*G272)+(H273+(L273-1)*G272)*(M273-1))))</f>
        <v/>
      </c>
      <c r="Q273" s="70" t="str">
        <f>IF(ISBLANK(L273),"",IF(N273=0,0,IF(L273=1,F273+(N273-1)*I273,(F273+(L273-1)*G273)+(I273+(L273-1)*G273)*(N273-1))))</f>
        <v/>
      </c>
      <c r="R273" s="71"/>
      <c r="S273" s="64" t="str">
        <f>IF(ISBLANK(L273),"",IF(N273=0,"",P273+Q273))</f>
        <v/>
      </c>
    </row>
    <row r="274" spans="1:19" x14ac:dyDescent="0.4">
      <c r="A274" s="45" t="s">
        <v>32</v>
      </c>
      <c r="B274" s="46" t="s">
        <v>110</v>
      </c>
      <c r="C274" s="46" t="s">
        <v>1</v>
      </c>
      <c r="D274" s="47"/>
      <c r="E274" s="67" t="str">
        <f>IF('National currencies'!E274="","",'National currencies'!E274)</f>
        <v/>
      </c>
      <c r="F274" s="66">
        <f>'National currencies'!F274</f>
        <v>150</v>
      </c>
      <c r="G274" s="65">
        <f>'National currencies'!G274</f>
        <v>150</v>
      </c>
      <c r="H274" s="66">
        <f>'National currencies'!H274</f>
        <v>50</v>
      </c>
      <c r="I274" s="48">
        <f>'National currencies'!I274</f>
        <v>50</v>
      </c>
      <c r="J274" s="48">
        <f>'National currencies'!J274</f>
        <v>150</v>
      </c>
      <c r="K274" s="61"/>
      <c r="L274" s="220"/>
      <c r="M274" s="62" t="str">
        <f>IF(ISBLANK(L274),"",IF(O2=0,0,M2))</f>
        <v/>
      </c>
      <c r="N274" s="49" t="str">
        <f>IF(ISBLANK(L274),"",IF(O2=0,0,N2))</f>
        <v/>
      </c>
      <c r="O274" s="63" t="str">
        <f>IF(ISBLANK(L274),"",O2)</f>
        <v/>
      </c>
      <c r="P274" s="69" t="str">
        <f>IF(ISBLANK(L274),"",IF(M274=0,0,IF(L274=1,H274+(M274-1)*H274,(H274+(L274-1)*G272)+(H274+(L274-1)*G272)*(M274-1))))</f>
        <v/>
      </c>
      <c r="Q274" s="70" t="str">
        <f>IF(ISBLANK(L274),"",IF(N274=0,0,IF(L274=1,I274+(N274-1)*I274,(I274+(L274-1)*G273)+(I274+(L274-1)*G273)*(N274-1))))</f>
        <v/>
      </c>
      <c r="R274" s="71" t="str">
        <f>IF(ISBLANK(L274),"",IF(O274=0,0,IF(L274=1,F274+(O274-1)*J274,(F274+(L274-1)*G274)+(J274+(L274-1)*G274)*(O274-1))))</f>
        <v/>
      </c>
      <c r="S274" s="64" t="str">
        <f>IF(ISBLANK(L274),"",IF(O274=0,"",P274+Q274+R274))</f>
        <v/>
      </c>
    </row>
    <row r="275" spans="1:19" x14ac:dyDescent="0.4">
      <c r="A275" s="45" t="s">
        <v>32</v>
      </c>
      <c r="B275" s="46" t="s">
        <v>108</v>
      </c>
      <c r="C275" s="46" t="s">
        <v>2</v>
      </c>
      <c r="D275" s="47"/>
      <c r="E275" s="67" t="str">
        <f>IF('National currencies'!E275="","",'National currencies'!E275)</f>
        <v/>
      </c>
      <c r="F275" s="66">
        <f>'National currencies'!F275</f>
        <v>50</v>
      </c>
      <c r="G275" s="65">
        <f>'National currencies'!G275</f>
        <v>50</v>
      </c>
      <c r="H275" s="66">
        <f>'National currencies'!H275</f>
        <v>50</v>
      </c>
      <c r="I275" s="48"/>
      <c r="J275" s="48"/>
      <c r="K275" s="61"/>
      <c r="L275" s="220"/>
      <c r="M275" s="62" t="str">
        <f>IF(ISBLANK(L275),"",IF((N2+O2)&gt;0,0,M2))</f>
        <v/>
      </c>
      <c r="N275" s="49"/>
      <c r="O275" s="63"/>
      <c r="P275" s="69" t="str">
        <f>IF(ISBLANK(L275),"",IF(M275=0,0,IF(L275=1,F275+(M275-1)*H275,(F275+(L275-1)*G275)+(H275+(L275-1)*G275)*(M275-1))))</f>
        <v/>
      </c>
      <c r="Q275" s="70"/>
      <c r="R275" s="71"/>
      <c r="S275" s="64" t="str">
        <f>IF(ISBLANK(L275),"",IF(M275=0,"",P275))</f>
        <v/>
      </c>
    </row>
    <row r="276" spans="1:19" x14ac:dyDescent="0.4">
      <c r="A276" s="45" t="s">
        <v>32</v>
      </c>
      <c r="B276" s="46" t="s">
        <v>109</v>
      </c>
      <c r="C276" s="46" t="s">
        <v>2</v>
      </c>
      <c r="D276" s="47"/>
      <c r="E276" s="67" t="str">
        <f>IF('National currencies'!E276="","",'National currencies'!E276)</f>
        <v/>
      </c>
      <c r="F276" s="66">
        <f>'National currencies'!F276</f>
        <v>50</v>
      </c>
      <c r="G276" s="65">
        <f>'National currencies'!G276</f>
        <v>50</v>
      </c>
      <c r="H276" s="66">
        <f>'National currencies'!H276</f>
        <v>50</v>
      </c>
      <c r="I276" s="48">
        <f>'National currencies'!I276</f>
        <v>50</v>
      </c>
      <c r="J276" s="48"/>
      <c r="K276" s="61"/>
      <c r="L276" s="220"/>
      <c r="M276" s="62" t="str">
        <f>IF(ISBLANK(L276),"",IF(O2&gt;0,0,IF(N2=0,0,M2)))</f>
        <v/>
      </c>
      <c r="N276" s="49" t="str">
        <f>IF(ISBLANK(L276),"",IF(O2&gt;0,0,N2))</f>
        <v/>
      </c>
      <c r="O276" s="63"/>
      <c r="P276" s="69" t="str">
        <f>IF(ISBLANK(L276),"",IF(M276=0,0,IF(L276=1,H276+(M276-1)*H276,(H276+(L276-1)*G275)+(H276+(L276-1)*G275)*(M276-1))))</f>
        <v/>
      </c>
      <c r="Q276" s="70" t="str">
        <f>IF(ISBLANK(L276),"",IF(N276=0,0,IF(L276=1,F276+(N276-1)*I276,(F276+(L276-1)*G276)+(I276+(L276-1)*G276)*(N276-1))))</f>
        <v/>
      </c>
      <c r="R276" s="71"/>
      <c r="S276" s="64" t="str">
        <f>IF(ISBLANK(L276),"",IF(N276=0,"",P276+Q276))</f>
        <v/>
      </c>
    </row>
    <row r="277" spans="1:19" x14ac:dyDescent="0.4">
      <c r="A277" s="45" t="s">
        <v>32</v>
      </c>
      <c r="B277" s="46" t="s">
        <v>110</v>
      </c>
      <c r="C277" s="46" t="s">
        <v>2</v>
      </c>
      <c r="D277" s="47"/>
      <c r="E277" s="67" t="str">
        <f>IF('National currencies'!E277="","",'National currencies'!E277)</f>
        <v/>
      </c>
      <c r="F277" s="66">
        <f>'National currencies'!F277</f>
        <v>150</v>
      </c>
      <c r="G277" s="65">
        <f>'National currencies'!G277</f>
        <v>150</v>
      </c>
      <c r="H277" s="66">
        <f>'National currencies'!H277</f>
        <v>50</v>
      </c>
      <c r="I277" s="48">
        <f>'National currencies'!I277</f>
        <v>50</v>
      </c>
      <c r="J277" s="48">
        <f>'National currencies'!J277</f>
        <v>150</v>
      </c>
      <c r="K277" s="61"/>
      <c r="L277" s="220"/>
      <c r="M277" s="62" t="str">
        <f>IF(ISBLANK(L277),"",IF(O2=0,0,M2))</f>
        <v/>
      </c>
      <c r="N277" s="49" t="str">
        <f>IF(ISBLANK(L277),"",IF(O2=0,0,N2))</f>
        <v/>
      </c>
      <c r="O277" s="63" t="str">
        <f>IF(ISBLANK(L277),"",O2)</f>
        <v/>
      </c>
      <c r="P277" s="69" t="str">
        <f>IF(ISBLANK(L277),"",IF(M277=0,0,IF(L277=1,H277+(M277-1)*H277,(H277+(L277-1)*G275)+(H277+(L277-1)*G275)*(M277-1))))</f>
        <v/>
      </c>
      <c r="Q277" s="70" t="str">
        <f>IF(ISBLANK(L277),"",IF(N277=0,0,IF(L277=1,I277+(N277-1)*I277,(I277+(L277-1)*G276)+(I277+(L277-1)*G276)*(N277-1))))</f>
        <v/>
      </c>
      <c r="R277" s="71" t="str">
        <f>IF(ISBLANK(L277),"",IF(O277=0,0,IF(L277=1,F277+(O277-1)*J277,(F277+(L277-1)*G277)+(J277+(L277-1)*G277)*(O277-1))))</f>
        <v/>
      </c>
      <c r="S277" s="64" t="str">
        <f>IF(ISBLANK(L277),"",IF(O277=0,"",P277+Q277+R277))</f>
        <v/>
      </c>
    </row>
    <row r="278" spans="1:19" x14ac:dyDescent="0.4">
      <c r="A278" s="45" t="s">
        <v>32</v>
      </c>
      <c r="B278" s="46" t="s">
        <v>108</v>
      </c>
      <c r="C278" s="46" t="s">
        <v>0</v>
      </c>
      <c r="D278" s="47"/>
      <c r="E278" s="67" t="str">
        <f>IF('National currencies'!E278="","",'National currencies'!E278)</f>
        <v/>
      </c>
      <c r="F278" s="66">
        <f>'National currencies'!F278</f>
        <v>50</v>
      </c>
      <c r="G278" s="65">
        <f>'National currencies'!G278</f>
        <v>50</v>
      </c>
      <c r="H278" s="66">
        <f>'National currencies'!H278</f>
        <v>50</v>
      </c>
      <c r="I278" s="48"/>
      <c r="J278" s="48"/>
      <c r="K278" s="61"/>
      <c r="L278" s="220"/>
      <c r="M278" s="62" t="str">
        <f>IF(ISBLANK(L278),"",IF((N2+O2)&gt;0,0,M2))</f>
        <v/>
      </c>
      <c r="N278" s="49"/>
      <c r="O278" s="63"/>
      <c r="P278" s="69" t="str">
        <f>IF(ISBLANK(L278),"",IF(M278=0,0,IF(L278=1,F278+(M278-1)*H278,(F278+(L278-1)*G278)+(H278+(L278-1)*G278)*(M278-1))))</f>
        <v/>
      </c>
      <c r="Q278" s="70"/>
      <c r="R278" s="71"/>
      <c r="S278" s="64" t="str">
        <f>IF(ISBLANK(L278),"",IF(M278=0,"",P278))</f>
        <v/>
      </c>
    </row>
    <row r="279" spans="1:19" x14ac:dyDescent="0.4">
      <c r="A279" s="45" t="s">
        <v>32</v>
      </c>
      <c r="B279" s="46" t="s">
        <v>109</v>
      </c>
      <c r="C279" s="46" t="s">
        <v>0</v>
      </c>
      <c r="D279" s="47"/>
      <c r="E279" s="67" t="str">
        <f>IF('National currencies'!E279="","",'National currencies'!E279)</f>
        <v/>
      </c>
      <c r="F279" s="66">
        <f>'National currencies'!F279</f>
        <v>50</v>
      </c>
      <c r="G279" s="65">
        <f>'National currencies'!G279</f>
        <v>50</v>
      </c>
      <c r="H279" s="66">
        <f>'National currencies'!H279</f>
        <v>50</v>
      </c>
      <c r="I279" s="48">
        <f>'National currencies'!I279</f>
        <v>50</v>
      </c>
      <c r="J279" s="48"/>
      <c r="K279" s="61"/>
      <c r="L279" s="220"/>
      <c r="M279" s="62" t="str">
        <f>IF(ISBLANK(L279),"",IF(O2&gt;0,0,IF(N2=0,0,M2)))</f>
        <v/>
      </c>
      <c r="N279" s="49" t="str">
        <f>IF(ISBLANK(L279),"",IF(O2&gt;0,0,N2))</f>
        <v/>
      </c>
      <c r="O279" s="63"/>
      <c r="P279" s="69" t="str">
        <f>IF(ISBLANK(L279),"",IF(M279=0,0,IF(L279=1,H279+(M279-1)*H279,(H279+(L279-1)*G278)+(H279+(L279-1)*G278)*(M279-1))))</f>
        <v/>
      </c>
      <c r="Q279" s="70" t="str">
        <f>IF(ISBLANK(L279),"",IF(N279=0,0,IF(L279=1,F279+(N279-1)*I279,(F279+(L279-1)*G279)+(I279+(L279-1)*G279)*(N279-1))))</f>
        <v/>
      </c>
      <c r="R279" s="71"/>
      <c r="S279" s="64" t="str">
        <f>IF(ISBLANK(L279),"",IF(N279=0,"",P279+Q279))</f>
        <v/>
      </c>
    </row>
    <row r="280" spans="1:19" x14ac:dyDescent="0.4">
      <c r="A280" s="45" t="s">
        <v>32</v>
      </c>
      <c r="B280" s="46" t="s">
        <v>110</v>
      </c>
      <c r="C280" s="46" t="s">
        <v>0</v>
      </c>
      <c r="D280" s="47"/>
      <c r="E280" s="67" t="str">
        <f>IF('National currencies'!E280="","",'National currencies'!E280)</f>
        <v/>
      </c>
      <c r="F280" s="66">
        <f>'National currencies'!F280</f>
        <v>150</v>
      </c>
      <c r="G280" s="65">
        <f>'National currencies'!G280</f>
        <v>150</v>
      </c>
      <c r="H280" s="66">
        <f>'National currencies'!H280</f>
        <v>50</v>
      </c>
      <c r="I280" s="48">
        <f>'National currencies'!I280</f>
        <v>50</v>
      </c>
      <c r="J280" s="48">
        <f>'National currencies'!J280</f>
        <v>150</v>
      </c>
      <c r="K280" s="61"/>
      <c r="L280" s="220"/>
      <c r="M280" s="62" t="str">
        <f>IF(ISBLANK(L280),"",IF(O2=0,0,M2))</f>
        <v/>
      </c>
      <c r="N280" s="49" t="str">
        <f>IF(ISBLANK(L280),"",IF(O2=0,0,N2))</f>
        <v/>
      </c>
      <c r="O280" s="63" t="str">
        <f>IF(ISBLANK(L280),"",O2)</f>
        <v/>
      </c>
      <c r="P280" s="69" t="str">
        <f>IF(ISBLANK(L280),"",IF(M280=0,0,IF(L280=1,H280+(M280-1)*H280,(H280+(L280-1)*G278)+(H280+(L280-1)*G278)*(M280-1))))</f>
        <v/>
      </c>
      <c r="Q280" s="70" t="str">
        <f>IF(ISBLANK(L280),"",IF(N280=0,0,IF(L280=1,I280+(N280-1)*I280,(I280+(L280-1)*G279)+(I280+(L280-1)*G279)*(N280-1))))</f>
        <v/>
      </c>
      <c r="R280" s="71" t="str">
        <f>IF(ISBLANK(L280),"",IF(O280=0,0,IF(L280=1,F280+(O280-1)*J280,(F280+(L280-1)*G280)+(J280+(L280-1)*G280)*(O280-1))))</f>
        <v/>
      </c>
      <c r="S280" s="64" t="str">
        <f>IF(ISBLANK(L280),"",IF(O280=0,"",P280+Q280+R280))</f>
        <v/>
      </c>
    </row>
    <row r="281" spans="1:19" x14ac:dyDescent="0.4">
      <c r="A281" s="45" t="s">
        <v>31</v>
      </c>
      <c r="B281" s="46" t="s">
        <v>108</v>
      </c>
      <c r="C281" s="46" t="s">
        <v>1</v>
      </c>
      <c r="D281" s="47"/>
      <c r="E281" s="67" t="str">
        <f>IF('National currencies'!E281="","",'National currencies'!E281)</f>
        <v>4.6</v>
      </c>
      <c r="F281" s="66">
        <f>'National currencies'!F281</f>
        <v>513.80999999999995</v>
      </c>
      <c r="G281" s="65">
        <f>'National currencies'!G281</f>
        <v>0</v>
      </c>
      <c r="H281" s="66">
        <f>'National currencies'!H281</f>
        <v>0</v>
      </c>
      <c r="I281" s="48"/>
      <c r="J281" s="48"/>
      <c r="K281" s="61"/>
      <c r="L281" s="220"/>
      <c r="M281" s="62" t="str">
        <f>IF(ISBLANK(L281),"",IF((N2+O2)&gt;0,0,M2))</f>
        <v/>
      </c>
      <c r="N281" s="49"/>
      <c r="O281" s="63"/>
      <c r="P281" s="69" t="str">
        <f>IF(ISBLANK(L281),"",IF(M281=0,0,IF(L281=1,F281+(M281-1)*H281,(F281+(L281-1)*G281)+(H281+(L281-1)*G281)*(M281-1))))</f>
        <v/>
      </c>
      <c r="Q281" s="70"/>
      <c r="R281" s="71"/>
      <c r="S281" s="64" t="str">
        <f>IF(ISBLANK(L281),"",IF(M281=0,"",P281))</f>
        <v/>
      </c>
    </row>
    <row r="282" spans="1:19" x14ac:dyDescent="0.4">
      <c r="A282" s="45" t="s">
        <v>31</v>
      </c>
      <c r="B282" s="46" t="s">
        <v>109</v>
      </c>
      <c r="C282" s="46" t="s">
        <v>1</v>
      </c>
      <c r="D282" s="47"/>
      <c r="E282" s="67" t="str">
        <f>IF('National currencies'!E282="","",'National currencies'!E282)</f>
        <v>4.5</v>
      </c>
      <c r="F282" s="66">
        <f>'National currencies'!F282</f>
        <v>500</v>
      </c>
      <c r="G282" s="65">
        <f>'National currencies'!G282</f>
        <v>0</v>
      </c>
      <c r="H282" s="66">
        <f>'National currencies'!H282</f>
        <v>0</v>
      </c>
      <c r="I282" s="48">
        <f>'National currencies'!I282</f>
        <v>500</v>
      </c>
      <c r="J282" s="48"/>
      <c r="K282" s="61"/>
      <c r="L282" s="220"/>
      <c r="M282" s="62" t="str">
        <f>IF(ISBLANK(L282),"",IF(O2&gt;0,0,IF(N2=0,0,M2)))</f>
        <v/>
      </c>
      <c r="N282" s="49" t="str">
        <f>IF(ISBLANK(L282),"",IF(O2&gt;0,0,N2))</f>
        <v/>
      </c>
      <c r="O282" s="63"/>
      <c r="P282" s="69" t="str">
        <f>IF(ISBLANK(L282),"",IF(M282=0,0,IF(L282=1,H282+(M282-1)*H282,(H282+(L282-1)*G281)+(H282+(L282-1)*G281)*(M282-1))))</f>
        <v/>
      </c>
      <c r="Q282" s="70" t="str">
        <f>IF(ISBLANK(L282),"",IF(N282=0,0,IF(L282=1,F282+(N282-1)*I282,(F282+(L282-1)*G282)+(I282+(L282-1)*G282)*(N282-1))))</f>
        <v/>
      </c>
      <c r="R282" s="71"/>
      <c r="S282" s="64" t="str">
        <f>IF(ISBLANK(L282),"",IF(N282=0,"",P282+Q282))</f>
        <v/>
      </c>
    </row>
    <row r="283" spans="1:19" x14ac:dyDescent="0.4">
      <c r="A283" s="45" t="s">
        <v>31</v>
      </c>
      <c r="B283" s="46" t="s">
        <v>110</v>
      </c>
      <c r="C283" s="46" t="s">
        <v>1</v>
      </c>
      <c r="D283" s="47"/>
      <c r="E283" s="67" t="str">
        <f>IF('National currencies'!E283="","",'National currencies'!E283)</f>
        <v>4.4</v>
      </c>
      <c r="F283" s="66">
        <f>'National currencies'!F283</f>
        <v>1000</v>
      </c>
      <c r="G283" s="65">
        <f>'National currencies'!G283</f>
        <v>0</v>
      </c>
      <c r="H283" s="66">
        <f>'National currencies'!H283</f>
        <v>0</v>
      </c>
      <c r="I283" s="48">
        <f>'National currencies'!I283</f>
        <v>500</v>
      </c>
      <c r="J283" s="48">
        <f>'National currencies'!J283</f>
        <v>1000</v>
      </c>
      <c r="K283" s="61"/>
      <c r="L283" s="220"/>
      <c r="M283" s="62" t="str">
        <f>IF(ISBLANK(L283),"",IF(O2=0,0,M2))</f>
        <v/>
      </c>
      <c r="N283" s="49" t="str">
        <f>IF(ISBLANK(L283),"",IF(O2=0,0,N2))</f>
        <v/>
      </c>
      <c r="O283" s="63" t="str">
        <f>IF(ISBLANK(L283),"",O2)</f>
        <v/>
      </c>
      <c r="P283" s="69" t="str">
        <f>IF(ISBLANK(L283),"",IF(M283=0,0,IF(L283=1,H283+(M283-1)*H283,(H283+(L283-1)*G281)+(H283+(L283-1)*G281)*(M283-1))))</f>
        <v/>
      </c>
      <c r="Q283" s="70" t="str">
        <f>IF(ISBLANK(L283),"",IF(N283=0,0,IF(L283=1,I283+(N283-1)*I283,(I283+(L283-1)*G282)+(I283+(L283-1)*G282)*(N283-1))))</f>
        <v/>
      </c>
      <c r="R283" s="71" t="str">
        <f>IF(ISBLANK(L283),"",IF(O283=0,0,IF(L283=1,F283+(O283-1)*J283,(F283+(L283-1)*G283)+(J283+(L283-1)*G283)*(O283-1))))</f>
        <v/>
      </c>
      <c r="S283" s="64" t="str">
        <f>IF(ISBLANK(L283),"",IF(O283=0,"",P283+Q283+R283))</f>
        <v/>
      </c>
    </row>
    <row r="284" spans="1:19" x14ac:dyDescent="0.4">
      <c r="A284" s="45" t="s">
        <v>31</v>
      </c>
      <c r="B284" s="46" t="s">
        <v>108</v>
      </c>
      <c r="C284" s="46" t="s">
        <v>2</v>
      </c>
      <c r="D284" s="47"/>
      <c r="E284" s="67" t="str">
        <f>IF('National currencies'!E284="","",'National currencies'!E284)</f>
        <v/>
      </c>
      <c r="F284" s="66">
        <f>'National currencies'!F284</f>
        <v>0</v>
      </c>
      <c r="G284" s="65">
        <f>'National currencies'!G284</f>
        <v>0</v>
      </c>
      <c r="H284" s="66">
        <f>'National currencies'!H284</f>
        <v>0</v>
      </c>
      <c r="I284" s="48"/>
      <c r="J284" s="48"/>
      <c r="K284" s="61"/>
      <c r="L284" s="220"/>
      <c r="M284" s="62" t="str">
        <f>IF(ISBLANK(L284),"",IF((N2+O2)&gt;0,0,M2))</f>
        <v/>
      </c>
      <c r="N284" s="49"/>
      <c r="O284" s="63"/>
      <c r="P284" s="69" t="str">
        <f>IF(ISBLANK(L284),"",IF(M284=0,0,IF(L284=1,F284+(M284-1)*H284,(F284+(L284-1)*G284)+(H284+(L284-1)*G284)*(M284-1))))</f>
        <v/>
      </c>
      <c r="Q284" s="70"/>
      <c r="R284" s="71"/>
      <c r="S284" s="64" t="str">
        <f>IF(ISBLANK(L284),"",IF(M284=0,"",P284))</f>
        <v/>
      </c>
    </row>
    <row r="285" spans="1:19" x14ac:dyDescent="0.4">
      <c r="A285" s="45" t="s">
        <v>31</v>
      </c>
      <c r="B285" s="46" t="s">
        <v>109</v>
      </c>
      <c r="C285" s="46" t="s">
        <v>2</v>
      </c>
      <c r="D285" s="47"/>
      <c r="E285" s="67" t="str">
        <f>IF('National currencies'!E285="","",'National currencies'!E285)</f>
        <v/>
      </c>
      <c r="F285" s="66">
        <f>'National currencies'!F285</f>
        <v>0</v>
      </c>
      <c r="G285" s="65">
        <f>'National currencies'!G285</f>
        <v>0</v>
      </c>
      <c r="H285" s="66">
        <f>'National currencies'!H285</f>
        <v>0</v>
      </c>
      <c r="I285" s="48">
        <f>'National currencies'!I285</f>
        <v>0</v>
      </c>
      <c r="J285" s="48"/>
      <c r="K285" s="61"/>
      <c r="L285" s="220"/>
      <c r="M285" s="62" t="str">
        <f>IF(ISBLANK(L285),"",IF(O2&gt;0,0,IF(N2=0,0,M2)))</f>
        <v/>
      </c>
      <c r="N285" s="49" t="str">
        <f>IF(ISBLANK(L285),"",IF(O2&gt;0,0,N2))</f>
        <v/>
      </c>
      <c r="O285" s="63"/>
      <c r="P285" s="69" t="str">
        <f>IF(ISBLANK(L285),"",IF(M285=0,0,IF(L285=1,H285+(M285-1)*H285,(H285+(L285-1)*G284)+(H285+(L285-1)*G284)*(M285-1))))</f>
        <v/>
      </c>
      <c r="Q285" s="70" t="str">
        <f>IF(ISBLANK(L285),"",IF(N285=0,0,IF(L285=1,F285+(N285-1)*I285,(F285+(L285-1)*G285)+(I285+(L285-1)*G285)*(N285-1))))</f>
        <v/>
      </c>
      <c r="R285" s="71"/>
      <c r="S285" s="64" t="str">
        <f>IF(ISBLANK(L285),"",IF(N285=0,"",P285+Q285))</f>
        <v/>
      </c>
    </row>
    <row r="286" spans="1:19" x14ac:dyDescent="0.4">
      <c r="A286" s="45" t="s">
        <v>31</v>
      </c>
      <c r="B286" s="46" t="s">
        <v>110</v>
      </c>
      <c r="C286" s="46" t="s">
        <v>2</v>
      </c>
      <c r="D286" s="47"/>
      <c r="E286" s="67" t="str">
        <f>IF('National currencies'!E286="","",'National currencies'!E286)</f>
        <v/>
      </c>
      <c r="F286" s="66">
        <f>'National currencies'!F286</f>
        <v>0</v>
      </c>
      <c r="G286" s="65">
        <f>'National currencies'!G286</f>
        <v>0</v>
      </c>
      <c r="H286" s="66">
        <f>'National currencies'!H286</f>
        <v>0</v>
      </c>
      <c r="I286" s="48">
        <f>'National currencies'!I286</f>
        <v>0</v>
      </c>
      <c r="J286" s="48">
        <f>'National currencies'!J286</f>
        <v>0</v>
      </c>
      <c r="K286" s="61"/>
      <c r="L286" s="220"/>
      <c r="M286" s="62" t="str">
        <f>IF(ISBLANK(L286),"",IF(O2=0,0,M2))</f>
        <v/>
      </c>
      <c r="N286" s="49" t="str">
        <f>IF(ISBLANK(L286),"",IF(O2=0,0,N2))</f>
        <v/>
      </c>
      <c r="O286" s="63" t="str">
        <f>IF(ISBLANK(L286),"",O2)</f>
        <v/>
      </c>
      <c r="P286" s="69" t="str">
        <f>IF(ISBLANK(L286),"",IF(M286=0,0,IF(L286=1,H286+(M286-1)*H286,(H286+(L286-1)*G284)+(H286+(L286-1)*G284)*(M286-1))))</f>
        <v/>
      </c>
      <c r="Q286" s="70" t="str">
        <f>IF(ISBLANK(L286),"",IF(N286=0,0,IF(L286=1,I286+(N286-1)*I286,(I286+(L286-1)*G285)+(I286+(L286-1)*G285)*(N286-1))))</f>
        <v/>
      </c>
      <c r="R286" s="71" t="str">
        <f>IF(ISBLANK(L286),"",IF(O286=0,0,IF(L286=1,F286+(O286-1)*J286,(F286+(L286-1)*G286)+(J286+(L286-1)*G286)*(O286-1))))</f>
        <v/>
      </c>
      <c r="S286" s="64" t="str">
        <f>IF(ISBLANK(L286),"",IF(O286=0,"",P286+Q286+R286))</f>
        <v/>
      </c>
    </row>
    <row r="287" spans="1:19" x14ac:dyDescent="0.4">
      <c r="A287" s="45" t="s">
        <v>31</v>
      </c>
      <c r="B287" s="46" t="s">
        <v>108</v>
      </c>
      <c r="C287" s="46" t="s">
        <v>0</v>
      </c>
      <c r="D287" s="47"/>
      <c r="E287" s="67" t="str">
        <f>IF('National currencies'!E287="","",'National currencies'!E287)</f>
        <v/>
      </c>
      <c r="F287" s="66">
        <f>'National currencies'!F287</f>
        <v>0</v>
      </c>
      <c r="G287" s="65">
        <f>'National currencies'!G287</f>
        <v>0</v>
      </c>
      <c r="H287" s="66">
        <f>'National currencies'!H287</f>
        <v>0</v>
      </c>
      <c r="I287" s="48"/>
      <c r="J287" s="48"/>
      <c r="K287" s="61"/>
      <c r="L287" s="220"/>
      <c r="M287" s="62" t="str">
        <f>IF(ISBLANK(L287),"",IF((N2+O2)&gt;0,0,M2))</f>
        <v/>
      </c>
      <c r="N287" s="49"/>
      <c r="O287" s="63"/>
      <c r="P287" s="69" t="str">
        <f>IF(ISBLANK(L287),"",IF(M287=0,0,IF(L287=1,F287+(M287-1)*H287,(F287+(L287-1)*G287)+(H287+(L287-1)*G287)*(M287-1))))</f>
        <v/>
      </c>
      <c r="Q287" s="70"/>
      <c r="R287" s="71"/>
      <c r="S287" s="64" t="str">
        <f>IF(ISBLANK(L287),"",IF(M287=0,"",P287))</f>
        <v/>
      </c>
    </row>
    <row r="288" spans="1:19" x14ac:dyDescent="0.4">
      <c r="A288" s="45" t="s">
        <v>31</v>
      </c>
      <c r="B288" s="46" t="s">
        <v>109</v>
      </c>
      <c r="C288" s="46" t="s">
        <v>0</v>
      </c>
      <c r="D288" s="47"/>
      <c r="E288" s="67" t="str">
        <f>IF('National currencies'!E288="","",'National currencies'!E288)</f>
        <v/>
      </c>
      <c r="F288" s="66">
        <f>'National currencies'!F288</f>
        <v>0</v>
      </c>
      <c r="G288" s="65">
        <f>'National currencies'!G288</f>
        <v>0</v>
      </c>
      <c r="H288" s="66">
        <f>'National currencies'!H288</f>
        <v>0</v>
      </c>
      <c r="I288" s="48">
        <f>'National currencies'!I288</f>
        <v>0</v>
      </c>
      <c r="J288" s="48"/>
      <c r="K288" s="61"/>
      <c r="L288" s="220"/>
      <c r="M288" s="62" t="str">
        <f>IF(ISBLANK(L288),"",IF(O2&gt;0,0,IF(N2=0,0,M2)))</f>
        <v/>
      </c>
      <c r="N288" s="49" t="str">
        <f>IF(ISBLANK(L288),"",IF(O2&gt;0,0,N2))</f>
        <v/>
      </c>
      <c r="O288" s="63"/>
      <c r="P288" s="69" t="str">
        <f>IF(ISBLANK(L288),"",IF(M288=0,0,IF(L288=1,H288+(M288-1)*H288,(H288+(L288-1)*G287)+(H288+(L288-1)*G287)*(M288-1))))</f>
        <v/>
      </c>
      <c r="Q288" s="70" t="str">
        <f>IF(ISBLANK(L288),"",IF(N288=0,0,IF(L288=1,F288+(N288-1)*I288,(F288+(L288-1)*G288)+(I288+(L288-1)*G288)*(N288-1))))</f>
        <v/>
      </c>
      <c r="R288" s="71"/>
      <c r="S288" s="64" t="str">
        <f>IF(ISBLANK(L288),"",IF(N288=0,"",P288+Q288))</f>
        <v/>
      </c>
    </row>
    <row r="289" spans="1:19" x14ac:dyDescent="0.4">
      <c r="A289" s="45" t="s">
        <v>31</v>
      </c>
      <c r="B289" s="46" t="s">
        <v>110</v>
      </c>
      <c r="C289" s="46" t="s">
        <v>0</v>
      </c>
      <c r="D289" s="47"/>
      <c r="E289" s="67" t="str">
        <f>IF('National currencies'!E289="","",'National currencies'!E289)</f>
        <v/>
      </c>
      <c r="F289" s="66">
        <f>'National currencies'!F289</f>
        <v>0</v>
      </c>
      <c r="G289" s="65">
        <f>'National currencies'!G289</f>
        <v>0</v>
      </c>
      <c r="H289" s="66">
        <f>'National currencies'!H289</f>
        <v>0</v>
      </c>
      <c r="I289" s="48">
        <f>'National currencies'!I289</f>
        <v>0</v>
      </c>
      <c r="J289" s="48">
        <f>'National currencies'!J289</f>
        <v>0</v>
      </c>
      <c r="K289" s="61"/>
      <c r="L289" s="220"/>
      <c r="M289" s="62" t="str">
        <f>IF(ISBLANK(L289),"",IF(O2=0,0,M2))</f>
        <v/>
      </c>
      <c r="N289" s="49" t="str">
        <f>IF(ISBLANK(L289),"",IF(O2=0,0,N2))</f>
        <v/>
      </c>
      <c r="O289" s="63" t="str">
        <f>IF(ISBLANK(L289),"",O2)</f>
        <v/>
      </c>
      <c r="P289" s="69" t="str">
        <f>IF(ISBLANK(L289),"",IF(M289=0,0,IF(L289=1,H289+(M289-1)*H289,(H289+(L289-1)*G287)+(H289+(L289-1)*G287)*(M289-1))))</f>
        <v/>
      </c>
      <c r="Q289" s="70" t="str">
        <f>IF(ISBLANK(L289),"",IF(N289=0,0,IF(L289=1,I289+(N289-1)*I289,(I289+(L289-1)*G288)+(I289+(L289-1)*G288)*(N289-1))))</f>
        <v/>
      </c>
      <c r="R289" s="71" t="str">
        <f>IF(ISBLANK(L289),"",IF(O289=0,0,IF(L289=1,F289+(O289-1)*J289,(F289+(L289-1)*G289)+(J289+(L289-1)*G289)*(O289-1))))</f>
        <v/>
      </c>
      <c r="S289" s="64" t="str">
        <f>IF(ISBLANK(L289),"",IF(O289=0,"",P289+Q289+R289))</f>
        <v/>
      </c>
    </row>
    <row r="290" spans="1:19" x14ac:dyDescent="0.4">
      <c r="A290" s="45" t="s">
        <v>33</v>
      </c>
      <c r="B290" s="46" t="s">
        <v>108</v>
      </c>
      <c r="C290" s="46" t="s">
        <v>1</v>
      </c>
      <c r="D290" s="47"/>
      <c r="E290" s="67" t="str">
        <f>IF('National currencies'!E290="","",'National currencies'!E290)</f>
        <v/>
      </c>
      <c r="F290" s="66">
        <f>'National currencies'!F290</f>
        <v>115</v>
      </c>
      <c r="G290" s="65">
        <f>'National currencies'!G290</f>
        <v>0</v>
      </c>
      <c r="H290" s="66">
        <f>'National currencies'!H290</f>
        <v>115</v>
      </c>
      <c r="I290" s="48"/>
      <c r="J290" s="48"/>
      <c r="K290" s="61"/>
      <c r="L290" s="220"/>
      <c r="M290" s="62" t="str">
        <f>IF(ISBLANK(L290),"",IF((N2+O2)&gt;0,0,M2))</f>
        <v/>
      </c>
      <c r="N290" s="49"/>
      <c r="O290" s="63"/>
      <c r="P290" s="69" t="str">
        <f>IF(ISBLANK(L290),"",IF(M290=0,0,IF(L290=1,F290+(M290-1)*H290,(F290+(L290-1)*G290)+(H290+(L290-1)*G290)*(M290-1))))</f>
        <v/>
      </c>
      <c r="Q290" s="70"/>
      <c r="R290" s="71"/>
      <c r="S290" s="64" t="str">
        <f>IF(ISBLANK(L290),"",IF(M290=0,"",P290))</f>
        <v/>
      </c>
    </row>
    <row r="291" spans="1:19" x14ac:dyDescent="0.4">
      <c r="A291" s="45" t="s">
        <v>33</v>
      </c>
      <c r="B291" s="46" t="s">
        <v>109</v>
      </c>
      <c r="C291" s="46" t="s">
        <v>1</v>
      </c>
      <c r="D291" s="47"/>
      <c r="E291" s="67" t="str">
        <f>IF('National currencies'!E291="","",'National currencies'!E291)</f>
        <v/>
      </c>
      <c r="F291" s="66">
        <f>'National currencies'!F291</f>
        <v>350</v>
      </c>
      <c r="G291" s="65">
        <f>'National currencies'!G291</f>
        <v>0</v>
      </c>
      <c r="H291" s="66">
        <f>'National currencies'!H291</f>
        <v>115</v>
      </c>
      <c r="I291" s="48">
        <f>'National currencies'!I291</f>
        <v>350</v>
      </c>
      <c r="J291" s="48"/>
      <c r="K291" s="61"/>
      <c r="L291" s="220"/>
      <c r="M291" s="62" t="str">
        <f>IF(ISBLANK(L291),"",IF(O2&gt;0,0,IF(N2=0,0,M2)))</f>
        <v/>
      </c>
      <c r="N291" s="49" t="str">
        <f>IF(ISBLANK(L291),"",IF(O2&gt;0,0,N2))</f>
        <v/>
      </c>
      <c r="O291" s="63"/>
      <c r="P291" s="69" t="str">
        <f>IF(ISBLANK(L291),"",IF(M291=0,0,IF(L291=1,H291+(M291-1)*H291,(H291+(L291-1)*G290)+(H291+(L291-1)*G290)*(M291-1))))</f>
        <v/>
      </c>
      <c r="Q291" s="70" t="str">
        <f>IF(ISBLANK(L291),"",IF(N291=0,0,IF(L291=1,F291+(N291-1)*I291,(F291+(L291-1)*G291)+(I291+(L291-1)*G291)*(N291-1))))</f>
        <v/>
      </c>
      <c r="R291" s="71"/>
      <c r="S291" s="64" t="str">
        <f>IF(ISBLANK(L291),"",IF(N291=0,"",P291+Q291))</f>
        <v/>
      </c>
    </row>
    <row r="292" spans="1:19" x14ac:dyDescent="0.4">
      <c r="A292" s="45" t="s">
        <v>33</v>
      </c>
      <c r="B292" s="46" t="s">
        <v>110</v>
      </c>
      <c r="C292" s="46" t="s">
        <v>1</v>
      </c>
      <c r="D292" s="47" t="s">
        <v>29</v>
      </c>
      <c r="E292" s="67" t="str">
        <f>IF('National currencies'!E292="","",'National currencies'!E292)</f>
        <v/>
      </c>
      <c r="F292" s="66">
        <f>'National currencies'!F292</f>
        <v>800</v>
      </c>
      <c r="G292" s="65">
        <f>'National currencies'!G292</f>
        <v>0</v>
      </c>
      <c r="H292" s="66">
        <f>'National currencies'!H292</f>
        <v>115</v>
      </c>
      <c r="I292" s="48">
        <f>'National currencies'!I292</f>
        <v>350</v>
      </c>
      <c r="J292" s="48">
        <f>'National currencies'!J292</f>
        <v>800</v>
      </c>
      <c r="K292" s="61"/>
      <c r="L292" s="220"/>
      <c r="M292" s="62" t="str">
        <f>IF(ISBLANK(L292),"",IF(O2=0,0,M2))</f>
        <v/>
      </c>
      <c r="N292" s="49" t="str">
        <f>IF(ISBLANK(L292),"",IF(O2=0,0,N2))</f>
        <v/>
      </c>
      <c r="O292" s="63" t="str">
        <f>IF(ISBLANK(L292),"",O2)</f>
        <v/>
      </c>
      <c r="P292" s="69" t="str">
        <f>IF(ISBLANK(L292),"",IF(M292=0,0,IF(L292=1,H292+(M292-1)*H292,(H292+(L292-1)*G290)+(H292+(L292-1)*G290)*(M292-1))))</f>
        <v/>
      </c>
      <c r="Q292" s="70" t="str">
        <f>IF(ISBLANK(L292),"",IF(N292=0,0,IF(L292=1,I292+(N292-1)*I292,(I292+(L292-1)*G291)+(I292+(L292-1)*G291)*(N292-1))))</f>
        <v/>
      </c>
      <c r="R292" s="71" t="str">
        <f>IF(ISBLANK(L292),"",IF(O292=0,0,IF(L292=1,F292+(O292-1)*J292,(F292+(L292-1)*G292)+(J292+(L292-1)*G292)*(O292-1))))</f>
        <v/>
      </c>
      <c r="S292" s="64" t="str">
        <f>IF(ISBLANK(L292),"",IF(O292=0,"",P292+Q292+R292))</f>
        <v/>
      </c>
    </row>
    <row r="293" spans="1:19" x14ac:dyDescent="0.4">
      <c r="A293" s="45" t="s">
        <v>33</v>
      </c>
      <c r="B293" s="46" t="s">
        <v>110</v>
      </c>
      <c r="C293" s="46" t="s">
        <v>1</v>
      </c>
      <c r="D293" s="47" t="s">
        <v>5</v>
      </c>
      <c r="E293" s="67" t="str">
        <f>IF('National currencies'!E293="","",'National currencies'!E293)</f>
        <v/>
      </c>
      <c r="F293" s="66">
        <f>'National currencies'!F293</f>
        <v>4000</v>
      </c>
      <c r="G293" s="65">
        <f>'National currencies'!G293</f>
        <v>0</v>
      </c>
      <c r="H293" s="66">
        <f>'National currencies'!H293</f>
        <v>115</v>
      </c>
      <c r="I293" s="48">
        <f>'National currencies'!I293</f>
        <v>350</v>
      </c>
      <c r="J293" s="48">
        <f>'National currencies'!J293</f>
        <v>4000</v>
      </c>
      <c r="K293" s="61"/>
      <c r="L293" s="220"/>
      <c r="M293" s="62" t="str">
        <f>IF(ISBLANK(L293),"",IF(O2=0,0,M2))</f>
        <v/>
      </c>
      <c r="N293" s="49" t="str">
        <f>IF(ISBLANK(L293),"",IF(O2=0,0,N2))</f>
        <v/>
      </c>
      <c r="O293" s="63" t="str">
        <f>IF(ISBLANK(L293),"",O2)</f>
        <v/>
      </c>
      <c r="P293" s="69" t="str">
        <f>IF(ISBLANK(L293),"",IF(M293=0,0,IF(L293=1,H293+(M293-1)*H293,(H293+(L293-1)*G290)+(H293+(L293-1)*G290)*(M293-1))))</f>
        <v/>
      </c>
      <c r="Q293" s="70" t="str">
        <f>IF(ISBLANK(L293),"",IF(N293=0,0,IF(L293=1,I293+(N293-1)*I293,(I293+(L293-1)*G291)+(I293+(L293-1)*G291)*(N293-1))))</f>
        <v/>
      </c>
      <c r="R293" s="71" t="str">
        <f>IF(ISBLANK(L293),"",IF(O293=0,0,IF(L293=1,F293+(O293-1)*J293,(F293+(L293-1)*G293)+(J293+(L293-1)*G293)*(O293-1))))</f>
        <v/>
      </c>
      <c r="S293" s="64" t="str">
        <f>IF(ISBLANK(L293),"",IF(O293=0,"",P293+Q293+R293))</f>
        <v/>
      </c>
    </row>
    <row r="294" spans="1:19" x14ac:dyDescent="0.4">
      <c r="A294" s="45" t="s">
        <v>33</v>
      </c>
      <c r="B294" s="46" t="s">
        <v>108</v>
      </c>
      <c r="C294" s="46" t="s">
        <v>2</v>
      </c>
      <c r="D294" s="47"/>
      <c r="E294" s="67" t="str">
        <f>IF('National currencies'!E294="","",'National currencies'!E294)</f>
        <v/>
      </c>
      <c r="F294" s="66">
        <f>'National currencies'!F294</f>
        <v>0</v>
      </c>
      <c r="G294" s="65">
        <f>'National currencies'!G294</f>
        <v>0</v>
      </c>
      <c r="H294" s="66">
        <f>'National currencies'!H294</f>
        <v>0</v>
      </c>
      <c r="I294" s="48"/>
      <c r="J294" s="48"/>
      <c r="K294" s="61"/>
      <c r="L294" s="220"/>
      <c r="M294" s="62" t="str">
        <f>IF(ISBLANK(L294),"",IF((N2+O2)&gt;0,0,M2))</f>
        <v/>
      </c>
      <c r="N294" s="49"/>
      <c r="O294" s="63"/>
      <c r="P294" s="69" t="str">
        <f>IF(ISBLANK(L294),"",IF(M294=0,0,IF(L294=1,F294+(M294-1)*H294,(F294+(L294-1)*G294)+(H294+(L294-1)*G294)*(M294-1))))</f>
        <v/>
      </c>
      <c r="Q294" s="70"/>
      <c r="R294" s="71"/>
      <c r="S294" s="64" t="str">
        <f>IF(ISBLANK(L294),"",IF(M294=0,"",P294))</f>
        <v/>
      </c>
    </row>
    <row r="295" spans="1:19" x14ac:dyDescent="0.4">
      <c r="A295" s="45" t="s">
        <v>33</v>
      </c>
      <c r="B295" s="46" t="s">
        <v>109</v>
      </c>
      <c r="C295" s="46" t="s">
        <v>2</v>
      </c>
      <c r="D295" s="47"/>
      <c r="E295" s="67" t="str">
        <f>IF('National currencies'!E295="","",'National currencies'!E295)</f>
        <v/>
      </c>
      <c r="F295" s="66">
        <f>'National currencies'!F295</f>
        <v>0</v>
      </c>
      <c r="G295" s="65">
        <f>'National currencies'!G295</f>
        <v>0</v>
      </c>
      <c r="H295" s="66">
        <f>'National currencies'!H295</f>
        <v>0</v>
      </c>
      <c r="I295" s="48">
        <f>'National currencies'!I295</f>
        <v>0</v>
      </c>
      <c r="J295" s="48"/>
      <c r="K295" s="61"/>
      <c r="L295" s="220"/>
      <c r="M295" s="62" t="str">
        <f>IF(ISBLANK(L295),"",IF(O2&gt;0,0,IF(N2=0,0,M2)))</f>
        <v/>
      </c>
      <c r="N295" s="49" t="str">
        <f>IF(ISBLANK(L295),"",IF(O2&gt;0,0,N2))</f>
        <v/>
      </c>
      <c r="O295" s="63"/>
      <c r="P295" s="69" t="str">
        <f>IF(ISBLANK(L295),"",IF(M295=0,0,IF(L295=1,H295+(M295-1)*H295,(H295+(L295-1)*G294)+(H295+(L295-1)*G294)*(M295-1))))</f>
        <v/>
      </c>
      <c r="Q295" s="70" t="str">
        <f>IF(ISBLANK(L295),"",IF(N295=0,0,IF(L295=1,F295+(N295-1)*I295,(F295+(L295-1)*G295)+(I295+(L295-1)*G295)*(N295-1))))</f>
        <v/>
      </c>
      <c r="R295" s="71"/>
      <c r="S295" s="64" t="str">
        <f>IF(ISBLANK(L295),"",IF(N295=0,"",P295+Q295))</f>
        <v/>
      </c>
    </row>
    <row r="296" spans="1:19" x14ac:dyDescent="0.4">
      <c r="A296" s="45" t="s">
        <v>33</v>
      </c>
      <c r="B296" s="46" t="s">
        <v>110</v>
      </c>
      <c r="C296" s="46" t="s">
        <v>2</v>
      </c>
      <c r="D296" s="47" t="s">
        <v>29</v>
      </c>
      <c r="E296" s="67" t="str">
        <f>IF('National currencies'!E296="","",'National currencies'!E296)</f>
        <v/>
      </c>
      <c r="F296" s="66">
        <f>'National currencies'!F296</f>
        <v>0</v>
      </c>
      <c r="G296" s="65">
        <f>'National currencies'!G296</f>
        <v>0</v>
      </c>
      <c r="H296" s="66">
        <f>'National currencies'!H296</f>
        <v>0</v>
      </c>
      <c r="I296" s="48">
        <f>'National currencies'!I296</f>
        <v>0</v>
      </c>
      <c r="J296" s="48">
        <f>'National currencies'!J296</f>
        <v>0</v>
      </c>
      <c r="K296" s="61"/>
      <c r="L296" s="220"/>
      <c r="M296" s="62" t="str">
        <f>IF(ISBLANK(L296),"",IF(O2=0,0,M2))</f>
        <v/>
      </c>
      <c r="N296" s="49" t="str">
        <f>IF(ISBLANK(L296),"",IF(O2=0,0,N2))</f>
        <v/>
      </c>
      <c r="O296" s="63" t="str">
        <f>IF(ISBLANK(L296),"",O2)</f>
        <v/>
      </c>
      <c r="P296" s="69" t="str">
        <f>IF(ISBLANK(L296),"",IF(M296=0,0,IF(L296=1,H296+(M296-1)*H296,(H296+(L296-1)*G294)+(H296+(L296-1)*G294)*(M296-1))))</f>
        <v/>
      </c>
      <c r="Q296" s="70" t="str">
        <f>IF(ISBLANK(L296),"",IF(N296=0,0,IF(L296=1,I296+(N296-1)*I296,(I296+(L296-1)*G295)+(I296+(L296-1)*G295)*(N296-1))))</f>
        <v/>
      </c>
      <c r="R296" s="71" t="str">
        <f>IF(ISBLANK(L296),"",IF(O296=0,0,IF(L296=1,F296+(O296-1)*J296,(F296+(L296-1)*G296)+(J296+(L296-1)*G296)*(O296-1))))</f>
        <v/>
      </c>
      <c r="S296" s="64" t="str">
        <f>IF(ISBLANK(L296),"",IF(O296=0,"",P296+Q296+R296))</f>
        <v/>
      </c>
    </row>
    <row r="297" spans="1:19" x14ac:dyDescent="0.4">
      <c r="A297" s="45" t="s">
        <v>33</v>
      </c>
      <c r="B297" s="46" t="s">
        <v>110</v>
      </c>
      <c r="C297" s="46" t="s">
        <v>2</v>
      </c>
      <c r="D297" s="47" t="s">
        <v>5</v>
      </c>
      <c r="E297" s="67" t="str">
        <f>IF('National currencies'!E297="","",'National currencies'!E297)</f>
        <v/>
      </c>
      <c r="F297" s="66">
        <f>'National currencies'!F297</f>
        <v>0</v>
      </c>
      <c r="G297" s="65">
        <f>'National currencies'!G297</f>
        <v>0</v>
      </c>
      <c r="H297" s="66">
        <f>'National currencies'!H297</f>
        <v>0</v>
      </c>
      <c r="I297" s="48">
        <f>'National currencies'!I297</f>
        <v>0</v>
      </c>
      <c r="J297" s="48">
        <f>'National currencies'!J297</f>
        <v>0</v>
      </c>
      <c r="K297" s="61"/>
      <c r="L297" s="220"/>
      <c r="M297" s="62" t="str">
        <f>IF(ISBLANK(L297),"",IF(O2=0,0,M2))</f>
        <v/>
      </c>
      <c r="N297" s="49" t="str">
        <f>IF(ISBLANK(L297),"",IF(O2=0,0,N2))</f>
        <v/>
      </c>
      <c r="O297" s="63" t="str">
        <f>IF(ISBLANK(L297),"",O2)</f>
        <v/>
      </c>
      <c r="P297" s="69" t="str">
        <f>IF(ISBLANK(L297),"",IF(M297=0,0,IF(L297=1,H297+(M297-1)*H297,(H297+(L297-1)*G294)+(H297+(L297-1)*G294)*(M297-1))))</f>
        <v/>
      </c>
      <c r="Q297" s="70" t="str">
        <f>IF(ISBLANK(L297),"",IF(N297=0,0,IF(L297=1,I297+(N297-1)*I297,(I297+(L297-1)*G295)+(I297+(L297-1)*G295)*(N297-1))))</f>
        <v/>
      </c>
      <c r="R297" s="71" t="str">
        <f>IF(ISBLANK(L297),"",IF(O297=0,0,IF(L297=1,F297+(O297-1)*J297,(F297+(L297-1)*G297)+(J297+(L297-1)*G297)*(O297-1))))</f>
        <v/>
      </c>
      <c r="S297" s="64" t="str">
        <f>IF(ISBLANK(L297),"",IF(O297=0,"",P297+Q297+R297))</f>
        <v/>
      </c>
    </row>
    <row r="298" spans="1:19" x14ac:dyDescent="0.4">
      <c r="A298" s="45" t="s">
        <v>33</v>
      </c>
      <c r="B298" s="46" t="s">
        <v>108</v>
      </c>
      <c r="C298" s="46" t="s">
        <v>0</v>
      </c>
      <c r="D298" s="47"/>
      <c r="E298" s="67" t="str">
        <f>IF('National currencies'!E298="","",'National currencies'!E298)</f>
        <v/>
      </c>
      <c r="F298" s="66">
        <f>'National currencies'!F298</f>
        <v>115</v>
      </c>
      <c r="G298" s="65">
        <f>'National currencies'!G298</f>
        <v>0</v>
      </c>
      <c r="H298" s="66">
        <f>'National currencies'!H298</f>
        <v>115</v>
      </c>
      <c r="I298" s="48"/>
      <c r="J298" s="48"/>
      <c r="K298" s="61"/>
      <c r="L298" s="220"/>
      <c r="M298" s="62" t="str">
        <f>IF(ISBLANK(L298),"",IF((N2+O2)&gt;0,0,M2))</f>
        <v/>
      </c>
      <c r="N298" s="49"/>
      <c r="O298" s="63"/>
      <c r="P298" s="69" t="str">
        <f>IF(ISBLANK(L298),"",IF(M298=0,0,IF(L298=1,F298+(M298-1)*H298,(F298+(L298-1)*G298)+(H298+(L298-1)*G298)*(M298-1))))</f>
        <v/>
      </c>
      <c r="Q298" s="70"/>
      <c r="R298" s="71"/>
      <c r="S298" s="64" t="str">
        <f>IF(ISBLANK(L298),"",IF(M298=0,"",P298))</f>
        <v/>
      </c>
    </row>
    <row r="299" spans="1:19" x14ac:dyDescent="0.4">
      <c r="A299" s="45" t="s">
        <v>33</v>
      </c>
      <c r="B299" s="46" t="s">
        <v>109</v>
      </c>
      <c r="C299" s="46" t="s">
        <v>0</v>
      </c>
      <c r="D299" s="47"/>
      <c r="E299" s="67" t="str">
        <f>IF('National currencies'!E299="","",'National currencies'!E299)</f>
        <v/>
      </c>
      <c r="F299" s="66">
        <f>'National currencies'!F299</f>
        <v>350</v>
      </c>
      <c r="G299" s="65">
        <f>'National currencies'!G299</f>
        <v>0</v>
      </c>
      <c r="H299" s="66">
        <f>'National currencies'!H299</f>
        <v>115</v>
      </c>
      <c r="I299" s="48">
        <f>'National currencies'!I299</f>
        <v>350</v>
      </c>
      <c r="J299" s="48"/>
      <c r="K299" s="61"/>
      <c r="L299" s="220"/>
      <c r="M299" s="62" t="str">
        <f>IF(ISBLANK(L299),"",IF(O2&gt;0,0,IF(N2=0,0,M2)))</f>
        <v/>
      </c>
      <c r="N299" s="49" t="str">
        <f>IF(ISBLANK(L299),"",IF(O2&gt;0,0,N2))</f>
        <v/>
      </c>
      <c r="O299" s="63"/>
      <c r="P299" s="69" t="str">
        <f>IF(ISBLANK(L299),"",IF(M299=0,0,IF(L299=1,H299+(M299-1)*H299,(H299+(L299-1)*G298)+(H299+(L299-1)*G298)*(M299-1))))</f>
        <v/>
      </c>
      <c r="Q299" s="70" t="str">
        <f>IF(ISBLANK(L299),"",IF(N299=0,0,IF(L299=1,F299+(N299-1)*I299,(F299+(L299-1)*G299)+(I299+(L299-1)*G299)*(N299-1))))</f>
        <v/>
      </c>
      <c r="R299" s="71"/>
      <c r="S299" s="64" t="str">
        <f>IF(ISBLANK(L299),"",IF(N299=0,"",P299+Q299))</f>
        <v/>
      </c>
    </row>
    <row r="300" spans="1:19" x14ac:dyDescent="0.4">
      <c r="A300" s="45" t="s">
        <v>33</v>
      </c>
      <c r="B300" s="46" t="s">
        <v>110</v>
      </c>
      <c r="C300" s="46" t="s">
        <v>0</v>
      </c>
      <c r="D300" s="47" t="s">
        <v>29</v>
      </c>
      <c r="E300" s="67" t="str">
        <f>IF('National currencies'!E300="","",'National currencies'!E300)</f>
        <v/>
      </c>
      <c r="F300" s="66">
        <f>'National currencies'!F300</f>
        <v>1000</v>
      </c>
      <c r="G300" s="65">
        <f>'National currencies'!G300</f>
        <v>0</v>
      </c>
      <c r="H300" s="66">
        <f>'National currencies'!H300</f>
        <v>115</v>
      </c>
      <c r="I300" s="48">
        <f>'National currencies'!I300</f>
        <v>350</v>
      </c>
      <c r="J300" s="48">
        <f>'National currencies'!J300</f>
        <v>1000</v>
      </c>
      <c r="K300" s="61"/>
      <c r="L300" s="220"/>
      <c r="M300" s="62" t="str">
        <f>IF(ISBLANK(L300),"",IF(O2=0,0,M2))</f>
        <v/>
      </c>
      <c r="N300" s="49" t="str">
        <f>IF(ISBLANK(L300),"",IF(O2=0,0,N2))</f>
        <v/>
      </c>
      <c r="O300" s="63" t="str">
        <f>IF(ISBLANK(L300),"",O2)</f>
        <v/>
      </c>
      <c r="P300" s="69" t="str">
        <f>IF(ISBLANK(L300),"",IF(M300=0,0,IF(L300=1,H300+(M300-1)*H300,(H300+(L300-1)*G298)+(H300+(L300-1)*G298)*(M300-1))))</f>
        <v/>
      </c>
      <c r="Q300" s="70" t="str">
        <f>IF(ISBLANK(L300),"",IF(N300=0,0,IF(L300=1,I300+(N300-1)*I300,(I300+(L300-1)*G299)+(I300+(L300-1)*G299)*(N300-1))))</f>
        <v/>
      </c>
      <c r="R300" s="71" t="str">
        <f>IF(ISBLANK(L300),"",IF(O300=0,0,IF(L300=1,F300+(O300-1)*J300,(F300+(L300-1)*G300)+(J300+(L300-1)*G300)*(O300-1))))</f>
        <v/>
      </c>
      <c r="S300" s="64" t="str">
        <f>IF(ISBLANK(L300),"",IF(O300=0,"",P300+Q300+R300))</f>
        <v/>
      </c>
    </row>
    <row r="301" spans="1:19" x14ac:dyDescent="0.4">
      <c r="A301" s="45" t="s">
        <v>33</v>
      </c>
      <c r="B301" s="46" t="s">
        <v>110</v>
      </c>
      <c r="C301" s="46" t="s">
        <v>0</v>
      </c>
      <c r="D301" s="47" t="s">
        <v>5</v>
      </c>
      <c r="E301" s="67" t="str">
        <f>IF('National currencies'!E301="","",'National currencies'!E301)</f>
        <v/>
      </c>
      <c r="F301" s="66">
        <f>'National currencies'!F301</f>
        <v>4000</v>
      </c>
      <c r="G301" s="65">
        <f>'National currencies'!G301</f>
        <v>0</v>
      </c>
      <c r="H301" s="66">
        <f>'National currencies'!H301</f>
        <v>115</v>
      </c>
      <c r="I301" s="48">
        <f>'National currencies'!I301</f>
        <v>350</v>
      </c>
      <c r="J301" s="48">
        <f>'National currencies'!J301</f>
        <v>4000</v>
      </c>
      <c r="K301" s="61"/>
      <c r="L301" s="220"/>
      <c r="M301" s="62" t="str">
        <f>IF(ISBLANK(L301),"",IF(O2=0,0,M2))</f>
        <v/>
      </c>
      <c r="N301" s="49" t="str">
        <f>IF(ISBLANK(L301),"",IF(O2=0,0,N2))</f>
        <v/>
      </c>
      <c r="O301" s="63" t="str">
        <f>IF(ISBLANK(L301),"",O2)</f>
        <v/>
      </c>
      <c r="P301" s="69" t="str">
        <f>IF(ISBLANK(L301),"",IF(M301=0,0,IF(L301=1,H301+(M301-1)*H301,(H301+(L301-1)*G298)+(H301+(L301-1)*G298)*(M301-1))))</f>
        <v/>
      </c>
      <c r="Q301" s="70" t="str">
        <f>IF(ISBLANK(L301),"",IF(N301=0,0,IF(L301=1,I301+(N301-1)*I301,(I301+(L301-1)*G299)+(I301+(L301-1)*G299)*(N301-1))))</f>
        <v/>
      </c>
      <c r="R301" s="71" t="str">
        <f>IF(ISBLANK(L301),"",IF(O301=0,0,IF(L301=1,F301+(O301-1)*J301,(F301+(L301-1)*G301)+(J301+(L301-1)*G301)*(O301-1))))</f>
        <v/>
      </c>
      <c r="S301" s="64" t="str">
        <f>IF(ISBLANK(L301),"",IF(O301=0,"",P301+Q301+R301))</f>
        <v/>
      </c>
    </row>
    <row r="302" spans="1:19" x14ac:dyDescent="0.4">
      <c r="A302" s="45" t="s">
        <v>34</v>
      </c>
      <c r="B302" s="46" t="s">
        <v>108</v>
      </c>
      <c r="C302" s="46" t="s">
        <v>1</v>
      </c>
      <c r="D302" s="47"/>
      <c r="E302" s="67" t="str">
        <f>IF('National currencies'!E302="","",'National currencies'!E302)</f>
        <v/>
      </c>
      <c r="F302" s="66">
        <f>'National currencies'!F302</f>
        <v>0</v>
      </c>
      <c r="G302" s="65">
        <f>'National currencies'!G302</f>
        <v>0</v>
      </c>
      <c r="H302" s="66">
        <f>'National currencies'!H302</f>
        <v>0</v>
      </c>
      <c r="I302" s="48"/>
      <c r="J302" s="48"/>
      <c r="K302" s="61"/>
      <c r="L302" s="220"/>
      <c r="M302" s="62" t="str">
        <f>IF(ISBLANK(L302),"",IF((N2+O2)&gt;0,0,M2))</f>
        <v/>
      </c>
      <c r="N302" s="49"/>
      <c r="O302" s="63"/>
      <c r="P302" s="69" t="str">
        <f>IF(ISBLANK(L302),"",IF(M302=0,0,IF(L302=1,F302+(M302-1)*H302,(F302+(L302-1)*G302)+(H302+(L302-1)*G302)*(M302-1))))</f>
        <v/>
      </c>
      <c r="Q302" s="70"/>
      <c r="R302" s="71"/>
      <c r="S302" s="64" t="str">
        <f>IF(ISBLANK(L302),"",IF(M302=0,"",P302))</f>
        <v/>
      </c>
    </row>
    <row r="303" spans="1:19" x14ac:dyDescent="0.4">
      <c r="A303" s="45" t="s">
        <v>34</v>
      </c>
      <c r="B303" s="46" t="s">
        <v>109</v>
      </c>
      <c r="C303" s="46" t="s">
        <v>1</v>
      </c>
      <c r="D303" s="47"/>
      <c r="E303" s="67" t="str">
        <f>IF('National currencies'!E303="","",'National currencies'!E303)</f>
        <v/>
      </c>
      <c r="F303" s="66">
        <f>'National currencies'!F303</f>
        <v>0</v>
      </c>
      <c r="G303" s="65">
        <f>'National currencies'!G303</f>
        <v>0</v>
      </c>
      <c r="H303" s="66">
        <f>'National currencies'!H303</f>
        <v>0</v>
      </c>
      <c r="I303" s="48">
        <f>'National currencies'!I303</f>
        <v>0</v>
      </c>
      <c r="J303" s="48"/>
      <c r="K303" s="61"/>
      <c r="L303" s="220"/>
      <c r="M303" s="62" t="str">
        <f>IF(ISBLANK(L303),"",IF(O2&gt;0,0,IF(N2=0,0,M2)))</f>
        <v/>
      </c>
      <c r="N303" s="49" t="str">
        <f>IF(ISBLANK(L303),"",IF(O2&gt;0,0,N2))</f>
        <v/>
      </c>
      <c r="O303" s="63"/>
      <c r="P303" s="69" t="str">
        <f>IF(ISBLANK(L303),"",IF(M303=0,0,IF(L303=1,H303+(M303-1)*H303,(H303+(L303-1)*G302)+(H303+(L303-1)*G302)*(M303-1))))</f>
        <v/>
      </c>
      <c r="Q303" s="70" t="str">
        <f>IF(ISBLANK(L303),"",IF(N303=0,0,IF(L303=1,F303+(N303-1)*I303,(F303+(L303-1)*G303)+(I303+(L303-1)*G303)*(N303-1))))</f>
        <v/>
      </c>
      <c r="R303" s="71"/>
      <c r="S303" s="64" t="str">
        <f>IF(ISBLANK(L303),"",IF(N303=0,"",P303+Q303))</f>
        <v/>
      </c>
    </row>
    <row r="304" spans="1:19" x14ac:dyDescent="0.4">
      <c r="A304" s="45" t="s">
        <v>34</v>
      </c>
      <c r="B304" s="46" t="s">
        <v>110</v>
      </c>
      <c r="C304" s="46" t="s">
        <v>1</v>
      </c>
      <c r="D304" s="47" t="s">
        <v>29</v>
      </c>
      <c r="E304" s="67" t="str">
        <f>IF('National currencies'!E304="","",'National currencies'!E304)</f>
        <v/>
      </c>
      <c r="F304" s="66">
        <f>'National currencies'!F304</f>
        <v>0</v>
      </c>
      <c r="G304" s="65">
        <f>'National currencies'!G304</f>
        <v>0</v>
      </c>
      <c r="H304" s="66">
        <f>'National currencies'!H304</f>
        <v>0</v>
      </c>
      <c r="I304" s="48">
        <f>'National currencies'!I304</f>
        <v>0</v>
      </c>
      <c r="J304" s="48">
        <f>'National currencies'!J304</f>
        <v>0</v>
      </c>
      <c r="K304" s="61"/>
      <c r="L304" s="220"/>
      <c r="M304" s="62" t="str">
        <f>IF(ISBLANK(L304),"",IF(O2=0,0,M2))</f>
        <v/>
      </c>
      <c r="N304" s="49" t="str">
        <f>IF(ISBLANK(L304),"",IF(O2=0,0,N2))</f>
        <v/>
      </c>
      <c r="O304" s="63" t="str">
        <f>IF(ISBLANK(L304),"",O2)</f>
        <v/>
      </c>
      <c r="P304" s="69" t="str">
        <f>IF(ISBLANK(L304),"",IF(M304=0,0,IF(L304=1,H304+(M304-1)*H304,(H304+(L304-1)*G302)+(H304+(L304-1)*G302)*(M304-1))))</f>
        <v/>
      </c>
      <c r="Q304" s="70" t="str">
        <f>IF(ISBLANK(L304),"",IF(N304=0,0,IF(L304=1,I304+(N304-1)*I304,(I304+(L304-1)*G303)+(I304+(L304-1)*G303)*(N304-1))))</f>
        <v/>
      </c>
      <c r="R304" s="71" t="str">
        <f>IF(ISBLANK(L304),"",IF(O304=0,0,IF(L304=1,F304+(O304-1)*J304,(F304+(L304-1)*G304)+(J304+(L304-1)*G304)*(O304-1))))</f>
        <v/>
      </c>
      <c r="S304" s="64" t="str">
        <f>IF(ISBLANK(L304),"",IF(O304=0,"",P304+Q304+R304))</f>
        <v/>
      </c>
    </row>
    <row r="305" spans="1:19" x14ac:dyDescent="0.4">
      <c r="A305" s="45" t="s">
        <v>34</v>
      </c>
      <c r="B305" s="46" t="s">
        <v>110</v>
      </c>
      <c r="C305" s="46" t="s">
        <v>1</v>
      </c>
      <c r="D305" s="47" t="s">
        <v>5</v>
      </c>
      <c r="E305" s="67" t="str">
        <f>IF('National currencies'!E305="","",'National currencies'!E305)</f>
        <v/>
      </c>
      <c r="F305" s="66">
        <f>'National currencies'!F305</f>
        <v>0</v>
      </c>
      <c r="G305" s="65">
        <f>'National currencies'!G305</f>
        <v>0</v>
      </c>
      <c r="H305" s="66">
        <f>'National currencies'!H305</f>
        <v>0</v>
      </c>
      <c r="I305" s="48">
        <f>'National currencies'!I305</f>
        <v>0</v>
      </c>
      <c r="J305" s="48">
        <f>'National currencies'!J305</f>
        <v>0</v>
      </c>
      <c r="K305" s="61"/>
      <c r="L305" s="220"/>
      <c r="M305" s="62" t="str">
        <f>IF(ISBLANK(L305),"",IF(O2=0,0,M2))</f>
        <v/>
      </c>
      <c r="N305" s="49" t="str">
        <f>IF(ISBLANK(L305),"",IF(O2=0,0,N2))</f>
        <v/>
      </c>
      <c r="O305" s="63" t="str">
        <f>IF(ISBLANK(L305),"",O2)</f>
        <v/>
      </c>
      <c r="P305" s="69" t="str">
        <f>IF(ISBLANK(L305),"",IF(M305=0,0,IF(L305=1,H305+(M305-1)*H305,(H305+(L305-1)*G302)+(H305+(L305-1)*G302)*(M305-1))))</f>
        <v/>
      </c>
      <c r="Q305" s="70" t="str">
        <f>IF(ISBLANK(L305),"",IF(N305=0,0,IF(L305=1,I305+(N305-1)*I305,(I305+(L305-1)*G303)+(I305+(L305-1)*G303)*(N305-1))))</f>
        <v/>
      </c>
      <c r="R305" s="71" t="str">
        <f>IF(ISBLANK(L305),"",IF(O305=0,0,IF(L305=1,F305+(O305-1)*J305,(F305+(L305-1)*G305)+(J305+(L305-1)*G305)*(O305-1))))</f>
        <v/>
      </c>
      <c r="S305" s="64" t="str">
        <f>IF(ISBLANK(L305),"",IF(O305=0,"",P305+Q305+R305))</f>
        <v/>
      </c>
    </row>
    <row r="306" spans="1:19" x14ac:dyDescent="0.4">
      <c r="A306" s="45" t="s">
        <v>34</v>
      </c>
      <c r="B306" s="46" t="s">
        <v>108</v>
      </c>
      <c r="C306" s="46" t="s">
        <v>2</v>
      </c>
      <c r="D306" s="47"/>
      <c r="E306" s="67" t="str">
        <f>IF('National currencies'!E306="","",'National currencies'!E306)</f>
        <v/>
      </c>
      <c r="F306" s="66">
        <f>'National currencies'!F306</f>
        <v>0</v>
      </c>
      <c r="G306" s="65">
        <f>'National currencies'!G306</f>
        <v>0</v>
      </c>
      <c r="H306" s="66">
        <f>'National currencies'!H306</f>
        <v>0</v>
      </c>
      <c r="I306" s="48"/>
      <c r="J306" s="48"/>
      <c r="K306" s="61"/>
      <c r="L306" s="220"/>
      <c r="M306" s="62" t="str">
        <f>IF(ISBLANK(L306),"",IF((N2+O2)&gt;0,0,M2))</f>
        <v/>
      </c>
      <c r="N306" s="49"/>
      <c r="O306" s="63"/>
      <c r="P306" s="69" t="str">
        <f>IF(ISBLANK(L306),"",IF(M306=0,0,IF(L306=1,F306+(M306-1)*H306,(F306+(L306-1)*G306)+(H306+(L306-1)*G306)*(M306-1))))</f>
        <v/>
      </c>
      <c r="Q306" s="70"/>
      <c r="R306" s="71"/>
      <c r="S306" s="64" t="str">
        <f>IF(ISBLANK(L306),"",IF(M306=0,"",P306))</f>
        <v/>
      </c>
    </row>
    <row r="307" spans="1:19" x14ac:dyDescent="0.4">
      <c r="A307" s="45" t="s">
        <v>34</v>
      </c>
      <c r="B307" s="46" t="s">
        <v>109</v>
      </c>
      <c r="C307" s="46" t="s">
        <v>2</v>
      </c>
      <c r="D307" s="47"/>
      <c r="E307" s="67" t="str">
        <f>IF('National currencies'!E307="","",'National currencies'!E307)</f>
        <v/>
      </c>
      <c r="F307" s="66">
        <f>'National currencies'!F307</f>
        <v>0</v>
      </c>
      <c r="G307" s="65">
        <f>'National currencies'!G307</f>
        <v>0</v>
      </c>
      <c r="H307" s="66">
        <f>'National currencies'!H307</f>
        <v>0</v>
      </c>
      <c r="I307" s="48">
        <f>'National currencies'!I307</f>
        <v>0</v>
      </c>
      <c r="J307" s="48"/>
      <c r="K307" s="61"/>
      <c r="L307" s="220"/>
      <c r="M307" s="62" t="str">
        <f>IF(ISBLANK(L307),"",IF(O2&gt;0,0,IF(N2=0,0,M2)))</f>
        <v/>
      </c>
      <c r="N307" s="49" t="str">
        <f>IF(ISBLANK(L307),"",IF(O2&gt;0,0,N2))</f>
        <v/>
      </c>
      <c r="O307" s="63"/>
      <c r="P307" s="69" t="str">
        <f>IF(ISBLANK(L307),"",IF(M307=0,0,IF(L307=1,H307+(M307-1)*H307,(H307+(L307-1)*G306)+(H307+(L307-1)*G306)*(M307-1))))</f>
        <v/>
      </c>
      <c r="Q307" s="70" t="str">
        <f>IF(ISBLANK(L307),"",IF(N307=0,0,IF(L307=1,F307+(N307-1)*I307,(F307+(L307-1)*G307)+(I307+(L307-1)*G307)*(N307-1))))</f>
        <v/>
      </c>
      <c r="R307" s="71"/>
      <c r="S307" s="64" t="str">
        <f>IF(ISBLANK(L307),"",IF(N307=0,"",P307+Q307))</f>
        <v/>
      </c>
    </row>
    <row r="308" spans="1:19" x14ac:dyDescent="0.4">
      <c r="A308" s="45" t="s">
        <v>34</v>
      </c>
      <c r="B308" s="46" t="s">
        <v>110</v>
      </c>
      <c r="C308" s="46" t="s">
        <v>2</v>
      </c>
      <c r="D308" s="47" t="s">
        <v>29</v>
      </c>
      <c r="E308" s="67" t="str">
        <f>IF('National currencies'!E308="","",'National currencies'!E308)</f>
        <v/>
      </c>
      <c r="F308" s="66">
        <f>'National currencies'!F308</f>
        <v>0</v>
      </c>
      <c r="G308" s="65">
        <f>'National currencies'!G308</f>
        <v>0</v>
      </c>
      <c r="H308" s="66">
        <f>'National currencies'!H308</f>
        <v>0</v>
      </c>
      <c r="I308" s="48">
        <f>'National currencies'!I308</f>
        <v>0</v>
      </c>
      <c r="J308" s="48">
        <f>'National currencies'!J308</f>
        <v>0</v>
      </c>
      <c r="K308" s="61"/>
      <c r="L308" s="220"/>
      <c r="M308" s="62" t="str">
        <f>IF(ISBLANK(L308),"",IF(O2=0,0,M2))</f>
        <v/>
      </c>
      <c r="N308" s="49" t="str">
        <f>IF(ISBLANK(L308),"",IF(O2=0,0,N2))</f>
        <v/>
      </c>
      <c r="O308" s="63" t="str">
        <f>IF(ISBLANK(L308),"",O2)</f>
        <v/>
      </c>
      <c r="P308" s="69" t="str">
        <f>IF(ISBLANK(L308),"",IF(M308=0,0,IF(L308=1,H308+(M308-1)*H308,(H308+(L308-1)*G306)+(H308+(L308-1)*G306)*(M308-1))))</f>
        <v/>
      </c>
      <c r="Q308" s="70" t="str">
        <f>IF(ISBLANK(L308),"",IF(N308=0,0,IF(L308=1,I308+(N308-1)*I308,(I308+(L308-1)*G307)+(I308+(L308-1)*G307)*(N308-1))))</f>
        <v/>
      </c>
      <c r="R308" s="71" t="str">
        <f>IF(ISBLANK(L308),"",IF(O308=0,0,IF(L308=1,F308+(O308-1)*J308,(F308+(L308-1)*G308)+(J308+(L308-1)*G308)*(O308-1))))</f>
        <v/>
      </c>
      <c r="S308" s="64" t="str">
        <f>IF(ISBLANK(L308),"",IF(O308=0,"",P308+Q308+R308))</f>
        <v/>
      </c>
    </row>
    <row r="309" spans="1:19" x14ac:dyDescent="0.4">
      <c r="A309" s="45" t="s">
        <v>34</v>
      </c>
      <c r="B309" s="46" t="s">
        <v>110</v>
      </c>
      <c r="C309" s="46" t="s">
        <v>2</v>
      </c>
      <c r="D309" s="47" t="s">
        <v>5</v>
      </c>
      <c r="E309" s="67" t="str">
        <f>IF('National currencies'!E309="","",'National currencies'!E309)</f>
        <v/>
      </c>
      <c r="F309" s="66">
        <f>'National currencies'!F309</f>
        <v>0</v>
      </c>
      <c r="G309" s="65">
        <f>'National currencies'!G309</f>
        <v>0</v>
      </c>
      <c r="H309" s="66">
        <f>'National currencies'!H309</f>
        <v>0</v>
      </c>
      <c r="I309" s="48">
        <f>'National currencies'!I309</f>
        <v>0</v>
      </c>
      <c r="J309" s="48">
        <f>'National currencies'!J309</f>
        <v>0</v>
      </c>
      <c r="K309" s="61"/>
      <c r="L309" s="220"/>
      <c r="M309" s="62" t="str">
        <f>IF(ISBLANK(L309),"",IF(O2=0,0,M2))</f>
        <v/>
      </c>
      <c r="N309" s="49" t="str">
        <f>IF(ISBLANK(L309),"",IF(O2=0,0,N2))</f>
        <v/>
      </c>
      <c r="O309" s="63" t="str">
        <f>IF(ISBLANK(L309),"",O2)</f>
        <v/>
      </c>
      <c r="P309" s="69" t="str">
        <f>IF(ISBLANK(L309),"",IF(M309=0,0,IF(L309=1,H309+(M309-1)*H309,(H309+(L309-1)*G306)+(H309+(L309-1)*G306)*(M309-1))))</f>
        <v/>
      </c>
      <c r="Q309" s="70" t="str">
        <f>IF(ISBLANK(L309),"",IF(N309=0,0,IF(L309=1,I309+(N309-1)*I309,(I309+(L309-1)*G307)+(I309+(L309-1)*G307)*(N309-1))))</f>
        <v/>
      </c>
      <c r="R309" s="71" t="str">
        <f>IF(ISBLANK(L309),"",IF(O309=0,0,IF(L309=1,F309+(O309-1)*J309,(F309+(L309-1)*G309)+(J309+(L309-1)*G309)*(O309-1))))</f>
        <v/>
      </c>
      <c r="S309" s="64" t="str">
        <f>IF(ISBLANK(L309),"",IF(O309=0,"",P309+Q309+R309))</f>
        <v/>
      </c>
    </row>
    <row r="310" spans="1:19" x14ac:dyDescent="0.4">
      <c r="A310" s="45" t="s">
        <v>34</v>
      </c>
      <c r="B310" s="46" t="s">
        <v>108</v>
      </c>
      <c r="C310" s="46" t="s">
        <v>0</v>
      </c>
      <c r="D310" s="47"/>
      <c r="E310" s="67" t="str">
        <f>IF('National currencies'!E310="","",'National currencies'!E310)</f>
        <v/>
      </c>
      <c r="F310" s="66">
        <f>'National currencies'!F310</f>
        <v>0</v>
      </c>
      <c r="G310" s="65">
        <f>'National currencies'!G310</f>
        <v>0</v>
      </c>
      <c r="H310" s="66">
        <f>'National currencies'!H310</f>
        <v>0</v>
      </c>
      <c r="I310" s="48"/>
      <c r="J310" s="48"/>
      <c r="K310" s="61"/>
      <c r="L310" s="220"/>
      <c r="M310" s="62" t="str">
        <f>IF(ISBLANK(L310),"",IF((N2+O2)&gt;0,0,M2))</f>
        <v/>
      </c>
      <c r="N310" s="49"/>
      <c r="O310" s="63"/>
      <c r="P310" s="69" t="str">
        <f>IF(ISBLANK(L310),"",IF(M310=0,0,IF(L310=1,F310+(M310-1)*H310,(F310+(L310-1)*G310)+(H310+(L310-1)*G310)*(M310-1))))</f>
        <v/>
      </c>
      <c r="Q310" s="70"/>
      <c r="R310" s="71"/>
      <c r="S310" s="64" t="str">
        <f>IF(ISBLANK(L310),"",IF(M310=0,"",P310))</f>
        <v/>
      </c>
    </row>
    <row r="311" spans="1:19" x14ac:dyDescent="0.4">
      <c r="A311" s="45" t="s">
        <v>34</v>
      </c>
      <c r="B311" s="46" t="s">
        <v>109</v>
      </c>
      <c r="C311" s="46" t="s">
        <v>0</v>
      </c>
      <c r="D311" s="47"/>
      <c r="E311" s="67" t="str">
        <f>IF('National currencies'!E311="","",'National currencies'!E311)</f>
        <v/>
      </c>
      <c r="F311" s="66">
        <f>'National currencies'!F311</f>
        <v>0</v>
      </c>
      <c r="G311" s="65">
        <f>'National currencies'!G311</f>
        <v>0</v>
      </c>
      <c r="H311" s="66">
        <f>'National currencies'!H311</f>
        <v>0</v>
      </c>
      <c r="I311" s="48">
        <f>'National currencies'!I311</f>
        <v>0</v>
      </c>
      <c r="J311" s="48"/>
      <c r="K311" s="61"/>
      <c r="L311" s="220"/>
      <c r="M311" s="62" t="str">
        <f>IF(ISBLANK(L311),"",IF(O2&gt;0,0,IF(N2=0,0,M2)))</f>
        <v/>
      </c>
      <c r="N311" s="49" t="str">
        <f>IF(ISBLANK(L311),"",IF(O2&gt;0,0,N2))</f>
        <v/>
      </c>
      <c r="O311" s="63"/>
      <c r="P311" s="69" t="str">
        <f>IF(ISBLANK(L311),"",IF(M311=0,0,IF(L311=1,H311+(M311-1)*H311,(H311+(L311-1)*G310)+(H311+(L311-1)*G310)*(M311-1))))</f>
        <v/>
      </c>
      <c r="Q311" s="70" t="str">
        <f>IF(ISBLANK(L311),"",IF(N311=0,0,IF(L311=1,F311+(N311-1)*I311,(F311+(L311-1)*G311)+(I311+(L311-1)*G311)*(N311-1))))</f>
        <v/>
      </c>
      <c r="R311" s="71"/>
      <c r="S311" s="64" t="str">
        <f>IF(ISBLANK(L311),"",IF(N311=0,"",P311+Q311))</f>
        <v/>
      </c>
    </row>
    <row r="312" spans="1:19" x14ac:dyDescent="0.4">
      <c r="A312" s="45" t="s">
        <v>34</v>
      </c>
      <c r="B312" s="46" t="s">
        <v>110</v>
      </c>
      <c r="C312" s="46" t="s">
        <v>0</v>
      </c>
      <c r="D312" s="47" t="s">
        <v>29</v>
      </c>
      <c r="E312" s="67" t="str">
        <f>IF('National currencies'!E312="","",'National currencies'!E312)</f>
        <v/>
      </c>
      <c r="F312" s="66">
        <f>'National currencies'!F312</f>
        <v>0</v>
      </c>
      <c r="G312" s="65">
        <f>'National currencies'!G312</f>
        <v>0</v>
      </c>
      <c r="H312" s="66">
        <f>'National currencies'!H312</f>
        <v>0</v>
      </c>
      <c r="I312" s="48">
        <f>'National currencies'!I312</f>
        <v>0</v>
      </c>
      <c r="J312" s="48">
        <f>'National currencies'!J312</f>
        <v>0</v>
      </c>
      <c r="K312" s="61"/>
      <c r="L312" s="220"/>
      <c r="M312" s="62" t="str">
        <f>IF(ISBLANK(L312),"",IF(O2=0,0,M2))</f>
        <v/>
      </c>
      <c r="N312" s="49" t="str">
        <f>IF(ISBLANK(L312),"",IF(O2=0,0,N2))</f>
        <v/>
      </c>
      <c r="O312" s="63" t="str">
        <f>IF(ISBLANK(L312),"",O2)</f>
        <v/>
      </c>
      <c r="P312" s="69" t="str">
        <f>IF(ISBLANK(L312),"",IF(M312=0,0,IF(L312=1,H312+(M312-1)*H312,(H312+(L312-1)*G310)+(H312+(L312-1)*G310)*(M312-1))))</f>
        <v/>
      </c>
      <c r="Q312" s="70" t="str">
        <f>IF(ISBLANK(L312),"",IF(N312=0,0,IF(L312=1,I312+(N312-1)*I312,(I312+(L312-1)*G311)+(I312+(L312-1)*G311)*(N312-1))))</f>
        <v/>
      </c>
      <c r="R312" s="71" t="str">
        <f>IF(ISBLANK(L312),"",IF(O312=0,0,IF(L312=1,F312+(O312-1)*J312,(F312+(L312-1)*G312)+(J312+(L312-1)*G312)*(O312-1))))</f>
        <v/>
      </c>
      <c r="S312" s="64" t="str">
        <f>IF(ISBLANK(L312),"",IF(O312=0,"",P312+Q312+R312))</f>
        <v/>
      </c>
    </row>
    <row r="313" spans="1:19" x14ac:dyDescent="0.4">
      <c r="A313" s="45" t="s">
        <v>34</v>
      </c>
      <c r="B313" s="46" t="s">
        <v>110</v>
      </c>
      <c r="C313" s="46" t="s">
        <v>0</v>
      </c>
      <c r="D313" s="47" t="s">
        <v>5</v>
      </c>
      <c r="E313" s="67" t="str">
        <f>IF('National currencies'!E313="","",'National currencies'!E313)</f>
        <v/>
      </c>
      <c r="F313" s="66">
        <f>'National currencies'!F313</f>
        <v>0</v>
      </c>
      <c r="G313" s="65">
        <f>'National currencies'!G313</f>
        <v>0</v>
      </c>
      <c r="H313" s="66">
        <f>'National currencies'!H313</f>
        <v>0</v>
      </c>
      <c r="I313" s="48">
        <f>'National currencies'!I313</f>
        <v>0</v>
      </c>
      <c r="J313" s="48">
        <f>'National currencies'!J313</f>
        <v>0</v>
      </c>
      <c r="K313" s="61"/>
      <c r="L313" s="220"/>
      <c r="M313" s="62" t="str">
        <f>IF(ISBLANK(L313),"",IF(O2=0,0,M2))</f>
        <v/>
      </c>
      <c r="N313" s="49" t="str">
        <f>IF(ISBLANK(L313),"",IF(O2=0,0,N2))</f>
        <v/>
      </c>
      <c r="O313" s="63" t="str">
        <f>IF(ISBLANK(L313),"",O2)</f>
        <v/>
      </c>
      <c r="P313" s="69" t="str">
        <f>IF(ISBLANK(L313),"",IF(M313=0,0,IF(L313=1,H313+(M313-1)*H313,(H313+(L313-1)*G310)+(H313+(L313-1)*G310)*(M313-1))))</f>
        <v/>
      </c>
      <c r="Q313" s="70" t="str">
        <f>IF(ISBLANK(L313),"",IF(N313=0,0,IF(L313=1,I313+(N313-1)*I313,(I313+(L313-1)*G311)+(I313+(L313-1)*G311)*(N313-1))))</f>
        <v/>
      </c>
      <c r="R313" s="71" t="str">
        <f>IF(ISBLANK(L313),"",IF(O313=0,0,IF(L313=1,F313+(O313-1)*J313,(F313+(L313-1)*G313)+(J313+(L313-1)*G313)*(O313-1))))</f>
        <v/>
      </c>
      <c r="S313" s="64" t="str">
        <f>IF(ISBLANK(L313),"",IF(O313=0,"",P313+Q313+R313))</f>
        <v/>
      </c>
    </row>
    <row r="314" spans="1:19" x14ac:dyDescent="0.4">
      <c r="A314" s="45" t="s">
        <v>35</v>
      </c>
      <c r="B314" s="46" t="s">
        <v>108</v>
      </c>
      <c r="C314" s="46" t="s">
        <v>1</v>
      </c>
      <c r="D314" s="47"/>
      <c r="E314" s="67" t="str">
        <f>IF('National currencies'!E314="","",'National currencies'!E314)</f>
        <v/>
      </c>
      <c r="F314" s="66">
        <f>'National currencies'!F314/'Exchange rates'!B6</f>
        <v>0</v>
      </c>
      <c r="G314" s="65">
        <v>0</v>
      </c>
      <c r="H314" s="66">
        <f>'National currencies'!H314/'Exchange rates'!B6</f>
        <v>0</v>
      </c>
      <c r="I314" s="48"/>
      <c r="J314" s="48"/>
      <c r="K314" s="61"/>
      <c r="L314" s="220"/>
      <c r="M314" s="62" t="str">
        <f>IF(ISBLANK(L314),"",IF((N2+O2)&gt;0,0,M2))</f>
        <v/>
      </c>
      <c r="N314" s="49"/>
      <c r="O314" s="63"/>
      <c r="P314" s="69" t="str">
        <f>IF(ISBLANK(L314),"",IF(M314=0,0,IF(L314=1,F314+(M314-1)*H314,(F314+(L314-1)*G314)+(H314+(L314-1)*G314)*(M314-1))))</f>
        <v/>
      </c>
      <c r="Q314" s="70"/>
      <c r="R314" s="71"/>
      <c r="S314" s="64" t="str">
        <f>IF(ISBLANK(L314),"",IF(M314=0,"",P314))</f>
        <v/>
      </c>
    </row>
    <row r="315" spans="1:19" x14ac:dyDescent="0.4">
      <c r="A315" s="45" t="s">
        <v>35</v>
      </c>
      <c r="B315" s="46" t="s">
        <v>109</v>
      </c>
      <c r="C315" s="46" t="s">
        <v>1</v>
      </c>
      <c r="D315" s="47"/>
      <c r="E315" s="67" t="str">
        <f>IF('National currencies'!E315="","",'National currencies'!E315)</f>
        <v/>
      </c>
      <c r="F315" s="66">
        <f>'National currencies'!F315/'Exchange rates'!B6</f>
        <v>0</v>
      </c>
      <c r="G315" s="65">
        <v>0</v>
      </c>
      <c r="H315" s="66">
        <f>'National currencies'!H315/'Exchange rates'!B6</f>
        <v>0</v>
      </c>
      <c r="I315" s="48">
        <f>'National currencies'!I315/'Exchange rates'!B6</f>
        <v>0</v>
      </c>
      <c r="J315" s="48"/>
      <c r="K315" s="61"/>
      <c r="L315" s="220"/>
      <c r="M315" s="62" t="str">
        <f>IF(ISBLANK(L315),"",IF(O2&gt;0,0,IF(N2=0,0,M2)))</f>
        <v/>
      </c>
      <c r="N315" s="49" t="str">
        <f>IF(ISBLANK(L315),"",IF(O2&gt;0,0,N2))</f>
        <v/>
      </c>
      <c r="O315" s="63"/>
      <c r="P315" s="69" t="str">
        <f>IF(ISBLANK(L315),"",IF(M315=0,0,IF(L315=1,H315+(M315-1)*H315,(H315+(L315-1)*G314)+(H315+(L315-1)*G314)*(M315-1))))</f>
        <v/>
      </c>
      <c r="Q315" s="70" t="str">
        <f>IF(ISBLANK(L315),"",IF(N315=0,0,IF(L315=1,F315+(N315-1)*I315,(F315+(L315-1)*G315)+(I315+(L315-1)*G315)*(N315-1))))</f>
        <v/>
      </c>
      <c r="R315" s="71"/>
      <c r="S315" s="64" t="str">
        <f>IF(ISBLANK(L315),"",IF(N315=0,"",P315+Q315))</f>
        <v/>
      </c>
    </row>
    <row r="316" spans="1:19" x14ac:dyDescent="0.4">
      <c r="A316" s="45" t="s">
        <v>35</v>
      </c>
      <c r="B316" s="46" t="s">
        <v>109</v>
      </c>
      <c r="C316" s="46" t="s">
        <v>1</v>
      </c>
      <c r="D316" s="51" t="s">
        <v>263</v>
      </c>
      <c r="E316" s="67" t="str">
        <f>IF('National currencies'!E316="","",'National currencies'!E316)</f>
        <v/>
      </c>
      <c r="F316" s="66">
        <f>'National currencies'!F316/'Exchange rates'!B6</f>
        <v>1244.8275862068965</v>
      </c>
      <c r="G316" s="65">
        <v>0</v>
      </c>
      <c r="H316" s="66">
        <f>'National currencies'!H316/'Exchange rates'!B6</f>
        <v>0</v>
      </c>
      <c r="I316" s="48">
        <f>'National currencies'!I316/'Exchange rates'!B6</f>
        <v>1244.8275862068965</v>
      </c>
      <c r="J316" s="48"/>
      <c r="K316" s="61"/>
      <c r="L316" s="220"/>
      <c r="M316" s="62" t="str">
        <f>IF(ISBLANK(L316),"",IF(O2&gt;0,0,IF(N2=0,0,M2)))</f>
        <v/>
      </c>
      <c r="N316" s="49" t="str">
        <f>IF(ISBLANK(L316),"",IF(O2&gt;0,0,N2))</f>
        <v/>
      </c>
      <c r="O316" s="63"/>
      <c r="P316" s="69" t="str">
        <f>IF(ISBLANK(L316),"",IF(M316=0,0,IF(L316=1,H316+(M316-1)*H316,(H316+(L316-1)*G314)+(H316+(L316-1)*G314)*(M316-1))))</f>
        <v/>
      </c>
      <c r="Q316" s="70" t="str">
        <f>IF(ISBLANK(L316),"",IF(N316=0,0,IF(L316=1,F316+(N316-1)*I316,(F316+(L316-1)*G316)+(I316+(L316-1)*G316)*(N316-1))))</f>
        <v/>
      </c>
      <c r="R316" s="71"/>
      <c r="S316" s="64" t="str">
        <f>IF(ISBLANK(L316),"",IF(N316=0,"",P316+Q316))</f>
        <v/>
      </c>
    </row>
    <row r="317" spans="1:19" x14ac:dyDescent="0.4">
      <c r="A317" s="45" t="s">
        <v>35</v>
      </c>
      <c r="B317" s="46" t="s">
        <v>110</v>
      </c>
      <c r="C317" s="46" t="s">
        <v>1</v>
      </c>
      <c r="D317" s="47"/>
      <c r="E317" s="67" t="str">
        <f>IF('National currencies'!E317="","",'National currencies'!E317)</f>
        <v/>
      </c>
      <c r="F317" s="66">
        <f>'National currencies'!F317/'Exchange rates'!B6</f>
        <v>1358.2670203359858</v>
      </c>
      <c r="G317" s="65">
        <v>0</v>
      </c>
      <c r="H317" s="66">
        <f>'National currencies'!H317/'Exchange rates'!B6</f>
        <v>0</v>
      </c>
      <c r="I317" s="48">
        <f>'National currencies'!I317/'Exchange rates'!B6</f>
        <v>0</v>
      </c>
      <c r="J317" s="48">
        <f>'National currencies'!J317/'Exchange rates'!B6</f>
        <v>1358.2670203359858</v>
      </c>
      <c r="K317" s="61"/>
      <c r="L317" s="220"/>
      <c r="M317" s="62" t="str">
        <f>IF(ISBLANK(L317),"",IF(O2=0,0,M2))</f>
        <v/>
      </c>
      <c r="N317" s="49" t="str">
        <f>IF(ISBLANK(L317),"",IF(O2=0,0,N2))</f>
        <v/>
      </c>
      <c r="O317" s="63" t="str">
        <f>IF(ISBLANK(L317),"",O2)</f>
        <v/>
      </c>
      <c r="P317" s="69" t="str">
        <f>IF(ISBLANK(L317),"",IF(M317=0,0,IF(L317=1,H317+(M317-1)*H317,(H317+(L317-1)*G314)+(H317+(L317-1)*G314)*(M317-1))))</f>
        <v/>
      </c>
      <c r="Q317" s="70" t="str">
        <f>IF(ISBLANK(L317),"",IF(N317=0,0,IF(L317=1,I317+(N317-1)*I317,(I317+(L317-1)*G315)+(I317+(L317-1)*G315)*(N317-1))))</f>
        <v/>
      </c>
      <c r="R317" s="71" t="str">
        <f>IF(ISBLANK(L317),"",IF(O317=0,0,IF(L317=1,F317+(O317-1)*J317,(F317+(L317-1)*G317)+(J317+(L317-1)*G317)*(O317-1))))</f>
        <v/>
      </c>
      <c r="S317" s="64" t="str">
        <f>IF(ISBLANK(L317),"",IF(O317=0,"",P317+Q317+R317))</f>
        <v/>
      </c>
    </row>
    <row r="318" spans="1:19" x14ac:dyDescent="0.4">
      <c r="A318" s="45" t="s">
        <v>35</v>
      </c>
      <c r="B318" s="46" t="s">
        <v>110</v>
      </c>
      <c r="C318" s="46" t="s">
        <v>1</v>
      </c>
      <c r="D318" s="51" t="s">
        <v>264</v>
      </c>
      <c r="E318" s="67" t="str">
        <f>IF('National currencies'!E318="","",'National currencies'!E318)</f>
        <v/>
      </c>
      <c r="F318" s="66">
        <f>'National currencies'!F318/'Exchange rates'!B6</f>
        <v>8488.8594164456226</v>
      </c>
      <c r="G318" s="65">
        <v>0</v>
      </c>
      <c r="H318" s="66">
        <f>'National currencies'!H318/'Exchange rates'!B6</f>
        <v>0</v>
      </c>
      <c r="I318" s="48">
        <f>'National currencies'!I318/'Exchange rates'!B6</f>
        <v>1244.8275862068965</v>
      </c>
      <c r="J318" s="48">
        <f>'National currencies'!J318/'Exchange rates'!B6</f>
        <v>8488.8594164456226</v>
      </c>
      <c r="K318" s="61"/>
      <c r="L318" s="220"/>
      <c r="M318" s="62" t="str">
        <f>IF(ISBLANK(L318),"",IF(O2=0,0,M2))</f>
        <v/>
      </c>
      <c r="N318" s="49" t="str">
        <f>IF(ISBLANK(L318),"",IF(O2=0,0,N2))</f>
        <v/>
      </c>
      <c r="O318" s="63" t="str">
        <f>IF(ISBLANK(L318),"",O2)</f>
        <v/>
      </c>
      <c r="P318" s="69" t="str">
        <f>IF(ISBLANK(L318),"",IF(M318=0,0,IF(L318=1,H318+(M318-1)*H318,(H318+(L318-1)*G314)+(H318+(L318-1)*G314)*(M318-1))))</f>
        <v/>
      </c>
      <c r="Q318" s="70" t="str">
        <f>IF(ISBLANK(L318),"",IF(N318=0,0,IF(L318=1,I318+(N318-1)*I318,(I318+(L318-1)*G316)+(I318+(L318-1)*G316)*(N318-1))))</f>
        <v/>
      </c>
      <c r="R318" s="71" t="str">
        <f>IF(ISBLANK(L318),"",IF(O318=0,0,IF(L318=1,F318+(O318-1)*J318,(F318+(L318-1)*G318)+(J318+(L318-1)*G318)*(O318-1))))</f>
        <v/>
      </c>
      <c r="S318" s="64" t="str">
        <f>IF(ISBLANK(L318),"",IF(O318=0,"",P318+Q318+R318))</f>
        <v/>
      </c>
    </row>
    <row r="319" spans="1:19" x14ac:dyDescent="0.4">
      <c r="A319" s="45" t="s">
        <v>35</v>
      </c>
      <c r="B319" s="46" t="s">
        <v>108</v>
      </c>
      <c r="C319" s="46" t="s">
        <v>2</v>
      </c>
      <c r="D319" s="47"/>
      <c r="E319" s="67" t="str">
        <f>IF('National currencies'!E319="","",'National currencies'!E319)</f>
        <v/>
      </c>
      <c r="F319" s="66">
        <f>'National currencies'!F319/'Exchange rates'!B6</f>
        <v>0</v>
      </c>
      <c r="G319" s="65">
        <v>0</v>
      </c>
      <c r="H319" s="66">
        <f>'National currencies'!H319/'Exchange rates'!B6</f>
        <v>0</v>
      </c>
      <c r="I319" s="48"/>
      <c r="J319" s="48"/>
      <c r="K319" s="61"/>
      <c r="L319" s="220"/>
      <c r="M319" s="62" t="str">
        <f>IF(ISBLANK(L319),"",IF((N2+O2)&gt;0,0,M2))</f>
        <v/>
      </c>
      <c r="N319" s="49"/>
      <c r="O319" s="63"/>
      <c r="P319" s="69" t="str">
        <f>IF(ISBLANK(L319),"",IF(M319=0,0,IF(L319=1,F319+(M319-1)*H319,(F319+(L319-1)*G319)+(H319+(L319-1)*G319)*(M319-1))))</f>
        <v/>
      </c>
      <c r="Q319" s="70"/>
      <c r="R319" s="71"/>
      <c r="S319" s="64" t="str">
        <f>IF(ISBLANK(L319),"",IF(M319=0,"",P319))</f>
        <v/>
      </c>
    </row>
    <row r="320" spans="1:19" x14ac:dyDescent="0.4">
      <c r="A320" s="45" t="s">
        <v>35</v>
      </c>
      <c r="B320" s="46" t="s">
        <v>109</v>
      </c>
      <c r="C320" s="46" t="s">
        <v>2</v>
      </c>
      <c r="D320" s="47"/>
      <c r="E320" s="67" t="str">
        <f>IF('National currencies'!E320="","",'National currencies'!E320)</f>
        <v/>
      </c>
      <c r="F320" s="66">
        <f>'National currencies'!F320/'Exchange rates'!B6</f>
        <v>0</v>
      </c>
      <c r="G320" s="65">
        <v>0</v>
      </c>
      <c r="H320" s="66">
        <f>'National currencies'!H320/'Exchange rates'!B6</f>
        <v>0</v>
      </c>
      <c r="I320" s="48">
        <f>'National currencies'!I320/'Exchange rates'!B6</f>
        <v>0</v>
      </c>
      <c r="J320" s="48"/>
      <c r="K320" s="61"/>
      <c r="L320" s="220"/>
      <c r="M320" s="62" t="str">
        <f>IF(ISBLANK(L320),"",IF(O2&gt;0,0,IF(N2=0,0,M2)))</f>
        <v/>
      </c>
      <c r="N320" s="49" t="str">
        <f>IF(ISBLANK(L320),"",IF(O2&gt;0,0,N2))</f>
        <v/>
      </c>
      <c r="O320" s="63"/>
      <c r="P320" s="69" t="str">
        <f>IF(ISBLANK(L320),"",IF(M320=0,0,IF(L320=1,H320+(M320-1)*H320,(H320+(L320-1)*G319)+(H320+(L320-1)*G319)*(M320-1))))</f>
        <v/>
      </c>
      <c r="Q320" s="70" t="str">
        <f>IF(ISBLANK(L320),"",IF(N320=0,0,IF(L320=1,F320+(N320-1)*I320,(F320+(L320-1)*G320)+(I320+(L320-1)*G320)*(N320-1))))</f>
        <v/>
      </c>
      <c r="R320" s="71"/>
      <c r="S320" s="64" t="str">
        <f>IF(ISBLANK(L320),"",IF(N320=0,"",P320+Q320))</f>
        <v/>
      </c>
    </row>
    <row r="321" spans="1:19" x14ac:dyDescent="0.4">
      <c r="A321" s="45" t="s">
        <v>35</v>
      </c>
      <c r="B321" s="46" t="s">
        <v>109</v>
      </c>
      <c r="C321" s="46" t="s">
        <v>2</v>
      </c>
      <c r="D321" s="51" t="s">
        <v>263</v>
      </c>
      <c r="E321" s="67" t="str">
        <f>IF('National currencies'!E321="","",'National currencies'!E321)</f>
        <v/>
      </c>
      <c r="F321" s="66">
        <f>'National currencies'!F321/'Exchange rates'!B6</f>
        <v>735.72060123784263</v>
      </c>
      <c r="G321" s="65">
        <v>0</v>
      </c>
      <c r="H321" s="66">
        <f>'National currencies'!H321/'Exchange rates'!B6</f>
        <v>0</v>
      </c>
      <c r="I321" s="48">
        <f>'National currencies'!I321/'Exchange rates'!B6</f>
        <v>735.72060123784263</v>
      </c>
      <c r="J321" s="48"/>
      <c r="K321" s="61"/>
      <c r="L321" s="220"/>
      <c r="M321" s="62" t="str">
        <f>IF(ISBLANK(L321),"",IF(O2&gt;0,0,IF(N2=0,0,M2)))</f>
        <v/>
      </c>
      <c r="N321" s="49" t="str">
        <f>IF(ISBLANK(L321),"",IF(O2&gt;0,0,N2))</f>
        <v/>
      </c>
      <c r="O321" s="63"/>
      <c r="P321" s="69" t="str">
        <f>IF(ISBLANK(L321),"",IF(M321=0,0,IF(L321=1,H321+(M321-1)*H321,(H321+(L321-1)*G319)+(H321+(L321-1)*G319)*(M321-1))))</f>
        <v/>
      </c>
      <c r="Q321" s="70" t="str">
        <f>IF(ISBLANK(L321),"",IF(N321=0,0,IF(L321=1,F321+(N321-1)*I321,(F321+(L321-1)*G321)+(I321+(L321-1)*G321)*(N321-1))))</f>
        <v/>
      </c>
      <c r="R321" s="71"/>
      <c r="S321" s="64" t="str">
        <f>IF(ISBLANK(L321),"",IF(N321=0,"",P321+Q321))</f>
        <v/>
      </c>
    </row>
    <row r="322" spans="1:19" x14ac:dyDescent="0.4">
      <c r="A322" s="45" t="s">
        <v>35</v>
      </c>
      <c r="B322" s="46" t="s">
        <v>110</v>
      </c>
      <c r="C322" s="46" t="s">
        <v>2</v>
      </c>
      <c r="D322" s="47"/>
      <c r="E322" s="67" t="str">
        <f>IF('National currencies'!E322="","",'National currencies'!E322)</f>
        <v/>
      </c>
      <c r="F322" s="66">
        <f>'National currencies'!F322/'Exchange rates'!B6</f>
        <v>1131.918656056587</v>
      </c>
      <c r="G322" s="65">
        <v>0</v>
      </c>
      <c r="H322" s="66">
        <f>'National currencies'!H322/'Exchange rates'!B6</f>
        <v>0</v>
      </c>
      <c r="I322" s="48">
        <f>'National currencies'!I322/'Exchange rates'!B6</f>
        <v>0</v>
      </c>
      <c r="J322" s="48">
        <f>'National currencies'!J322/'Exchange rates'!B6</f>
        <v>1131.918656056587</v>
      </c>
      <c r="K322" s="61"/>
      <c r="L322" s="220"/>
      <c r="M322" s="62" t="str">
        <f>IF(ISBLANK(L322),"",IF(O2=0,0,M2))</f>
        <v/>
      </c>
      <c r="N322" s="49" t="str">
        <f>IF(ISBLANK(L322),"",IF(O2=0,0,N2))</f>
        <v/>
      </c>
      <c r="O322" s="63" t="str">
        <f>IF(ISBLANK(L322),"",O2)</f>
        <v/>
      </c>
      <c r="P322" s="69" t="str">
        <f>IF(ISBLANK(L322),"",IF(M322=0,0,IF(L322=1,H322+(M322-1)*H322,(H322+(L322-1)*G319)+(H322+(L322-1)*G319)*(M322-1))))</f>
        <v/>
      </c>
      <c r="Q322" s="70" t="str">
        <f>IF(ISBLANK(L322),"",IF(N322=0,0,IF(L322=1,I322+(N322-1)*I322,(I322+(L322-1)*G320)+(I322+(L322-1)*G320)*(N322-1))))</f>
        <v/>
      </c>
      <c r="R322" s="71" t="str">
        <f>IF(ISBLANK(L322),"",IF(O322=0,0,IF(L322=1,F322+(O322-1)*J322,(F322+(L322-1)*G322)+(J322+(L322-1)*G322)*(O322-1))))</f>
        <v/>
      </c>
      <c r="S322" s="64" t="str">
        <f>IF(ISBLANK(L322),"",IF(O322=0,"",P322+Q322+R322))</f>
        <v/>
      </c>
    </row>
    <row r="323" spans="1:19" x14ac:dyDescent="0.4">
      <c r="A323" s="45" t="s">
        <v>35</v>
      </c>
      <c r="B323" s="46" t="s">
        <v>110</v>
      </c>
      <c r="C323" s="46" t="s">
        <v>2</v>
      </c>
      <c r="D323" s="51" t="s">
        <v>264</v>
      </c>
      <c r="E323" s="67" t="str">
        <f>IF('National currencies'!E323="","",'National currencies'!E323)</f>
        <v/>
      </c>
      <c r="F323" s="66">
        <f>'National currencies'!F323/'Exchange rates'!B6</f>
        <v>3961.4500442086646</v>
      </c>
      <c r="G323" s="65">
        <v>0</v>
      </c>
      <c r="H323" s="66">
        <f>'National currencies'!H323/'Exchange rates'!B6</f>
        <v>0</v>
      </c>
      <c r="I323" s="48">
        <f>'National currencies'!I323/'Exchange rates'!B6</f>
        <v>735.72060123784263</v>
      </c>
      <c r="J323" s="48">
        <f>'National currencies'!J323/'Exchange rates'!B6</f>
        <v>3961.4500442086646</v>
      </c>
      <c r="K323" s="61"/>
      <c r="L323" s="220"/>
      <c r="M323" s="62" t="str">
        <f>IF(ISBLANK(L323),"",IF(O2=0,0,M2))</f>
        <v/>
      </c>
      <c r="N323" s="49" t="str">
        <f>IF(ISBLANK(L323),"",IF(O2=0,0,N2))</f>
        <v/>
      </c>
      <c r="O323" s="63" t="str">
        <f>IF(ISBLANK(L323),"",O2)</f>
        <v/>
      </c>
      <c r="P323" s="69" t="str">
        <f>IF(ISBLANK(L323),"",IF(M323=0,0,IF(L323=1,H323+(M323-1)*H323,(H323+(L323-1)*G319)+(H323+(L323-1)*G319)*(M323-1))))</f>
        <v/>
      </c>
      <c r="Q323" s="70" t="str">
        <f>IF(ISBLANK(L323),"",IF(N323=0,0,IF(L323=1,I323+(N323-1)*I323,(I323+(L323-1)*G321)+(I323+(L323-1)*G321)*(N323-1))))</f>
        <v/>
      </c>
      <c r="R323" s="71" t="str">
        <f>IF(ISBLANK(L323),"",IF(O323=0,0,IF(L323=1,F323+(O323-1)*J323,(F323+(L323-1)*G323)+(J323+(L323-1)*G323)*(O323-1))))</f>
        <v/>
      </c>
      <c r="S323" s="64" t="str">
        <f>IF(ISBLANK(L323),"",IF(O323=0,"",P323+Q323+R323))</f>
        <v/>
      </c>
    </row>
    <row r="324" spans="1:19" x14ac:dyDescent="0.4">
      <c r="A324" s="45" t="s">
        <v>35</v>
      </c>
      <c r="B324" s="46" t="s">
        <v>108</v>
      </c>
      <c r="C324" s="46" t="s">
        <v>0</v>
      </c>
      <c r="D324" s="47"/>
      <c r="E324" s="67" t="str">
        <f>IF('National currencies'!E324="","",'National currencies'!E324)</f>
        <v/>
      </c>
      <c r="F324" s="66">
        <f>'National currencies'!F324/'Exchange rates'!B6</f>
        <v>0</v>
      </c>
      <c r="G324" s="65">
        <v>0</v>
      </c>
      <c r="H324" s="66">
        <f>'National currencies'!H324/'Exchange rates'!B6</f>
        <v>0</v>
      </c>
      <c r="I324" s="48"/>
      <c r="J324" s="48"/>
      <c r="K324" s="61"/>
      <c r="L324" s="220"/>
      <c r="M324" s="62" t="str">
        <f>IF(ISBLANK(L324),"",IF((N2+O2)&gt;0,0,M2))</f>
        <v/>
      </c>
      <c r="N324" s="49"/>
      <c r="O324" s="63"/>
      <c r="P324" s="69" t="str">
        <f>IF(ISBLANK(L324),"",IF(M324=0,0,IF(L324=1,F324+(M324-1)*H324,(F324+(L324-1)*G324)+(H324+(L324-1)*G324)*(M324-1))))</f>
        <v/>
      </c>
      <c r="Q324" s="70"/>
      <c r="R324" s="71"/>
      <c r="S324" s="64" t="str">
        <f>IF(ISBLANK(L324),"",IF(M324=0,"",P324))</f>
        <v/>
      </c>
    </row>
    <row r="325" spans="1:19" x14ac:dyDescent="0.4">
      <c r="A325" s="45" t="s">
        <v>35</v>
      </c>
      <c r="B325" s="46" t="s">
        <v>109</v>
      </c>
      <c r="C325" s="46" t="s">
        <v>0</v>
      </c>
      <c r="D325" s="47"/>
      <c r="E325" s="67" t="str">
        <f>IF('National currencies'!E325="","",'National currencies'!E325)</f>
        <v/>
      </c>
      <c r="F325" s="66">
        <f>'National currencies'!F325/'Exchange rates'!B6</f>
        <v>0</v>
      </c>
      <c r="G325" s="65">
        <v>0</v>
      </c>
      <c r="H325" s="66">
        <f>'National currencies'!H325/'Exchange rates'!B6</f>
        <v>0</v>
      </c>
      <c r="I325" s="48">
        <f>'National currencies'!I325/'Exchange rates'!B6</f>
        <v>0</v>
      </c>
      <c r="J325" s="48"/>
      <c r="K325" s="61"/>
      <c r="L325" s="220"/>
      <c r="M325" s="62" t="str">
        <f>IF(ISBLANK(L325),"",IF(O2&gt;0,0,IF(N2=0,0,M2)))</f>
        <v/>
      </c>
      <c r="N325" s="49" t="str">
        <f>IF(ISBLANK(L325),"",IF(O2&gt;0,0,N2))</f>
        <v/>
      </c>
      <c r="O325" s="63"/>
      <c r="P325" s="69" t="str">
        <f>IF(ISBLANK(L325),"",IF(M325=0,0,IF(L325=1,H325+(M325-1)*H325,(H325+(L325-1)*G324)+(H325+(L325-1)*G324)*(M325-1))))</f>
        <v/>
      </c>
      <c r="Q325" s="70" t="str">
        <f>IF(ISBLANK(L325),"",IF(N325=0,0,IF(L325=1,F325+(N325-1)*I325,(F325+(L325-1)*G325)+(I325+(L325-1)*G325)*(N325-1))))</f>
        <v/>
      </c>
      <c r="R325" s="71"/>
      <c r="S325" s="64" t="str">
        <f>IF(ISBLANK(L325),"",IF(N325=0,"",P325+Q325))</f>
        <v/>
      </c>
    </row>
    <row r="326" spans="1:19" x14ac:dyDescent="0.4">
      <c r="A326" s="45" t="s">
        <v>35</v>
      </c>
      <c r="B326" s="46" t="s">
        <v>109</v>
      </c>
      <c r="C326" s="46" t="s">
        <v>0</v>
      </c>
      <c r="D326" s="51" t="s">
        <v>263</v>
      </c>
      <c r="E326" s="67" t="str">
        <f>IF('National currencies'!E326="","",'National currencies'!E326)</f>
        <v/>
      </c>
      <c r="F326" s="66">
        <f>'National currencies'!F326/'Exchange rates'!B6</f>
        <v>962.06896551724128</v>
      </c>
      <c r="G326" s="65">
        <v>0</v>
      </c>
      <c r="H326" s="66">
        <f>'National currencies'!H326/'Exchange rates'!B6</f>
        <v>0</v>
      </c>
      <c r="I326" s="48">
        <f>'National currencies'!I326/'Exchange rates'!B6</f>
        <v>962.06896551724128</v>
      </c>
      <c r="J326" s="48"/>
      <c r="K326" s="61"/>
      <c r="L326" s="220"/>
      <c r="M326" s="62" t="str">
        <f>IF(ISBLANK(L326),"",IF(O2&gt;0,0,IF(N2=0,0,M2)))</f>
        <v/>
      </c>
      <c r="N326" s="49" t="str">
        <f>IF(ISBLANK(L326),"",IF(O2&gt;0,0,N2))</f>
        <v/>
      </c>
      <c r="O326" s="63"/>
      <c r="P326" s="69" t="str">
        <f>IF(ISBLANK(L326),"",IF(M326=0,0,IF(L326=1,H326+(M326-1)*H326,(H326+(L326-1)*G324)+(H326+(L326-1)*G324)*(M326-1))))</f>
        <v/>
      </c>
      <c r="Q326" s="70" t="str">
        <f>IF(ISBLANK(L326),"",IF(N326=0,0,IF(L326=1,F326+(N326-1)*I326,(F326+(L326-1)*G326)+(I326+(L326-1)*G326)*(N326-1))))</f>
        <v/>
      </c>
      <c r="R326" s="71"/>
      <c r="S326" s="64" t="str">
        <f>IF(ISBLANK(L326),"",IF(N326=0,"",P326+Q326))</f>
        <v/>
      </c>
    </row>
    <row r="327" spans="1:19" x14ac:dyDescent="0.4">
      <c r="A327" s="45" t="s">
        <v>35</v>
      </c>
      <c r="B327" s="46" t="s">
        <v>110</v>
      </c>
      <c r="C327" s="46" t="s">
        <v>0</v>
      </c>
      <c r="D327" s="47"/>
      <c r="E327" s="67" t="str">
        <f>IF('National currencies'!E327="","",'National currencies'!E327)</f>
        <v/>
      </c>
      <c r="F327" s="66">
        <f>'National currencies'!F327/'Exchange rates'!B6</f>
        <v>1414.8541114058355</v>
      </c>
      <c r="G327" s="65">
        <v>0</v>
      </c>
      <c r="H327" s="66">
        <f>'National currencies'!H327/'Exchange rates'!B6</f>
        <v>0</v>
      </c>
      <c r="I327" s="48">
        <f>'National currencies'!I327/'Exchange rates'!B6</f>
        <v>0</v>
      </c>
      <c r="J327" s="48">
        <f>'National currencies'!J327/'Exchange rates'!B6</f>
        <v>1414.8541114058355</v>
      </c>
      <c r="K327" s="61"/>
      <c r="L327" s="220"/>
      <c r="M327" s="62" t="str">
        <f>IF(ISBLANK(L327),"",IF(O2=0,0,M2))</f>
        <v/>
      </c>
      <c r="N327" s="49" t="str">
        <f>IF(ISBLANK(L327),"",IF(O2=0,0,N2))</f>
        <v/>
      </c>
      <c r="O327" s="63" t="str">
        <f>IF(ISBLANK(L327),"",O2)</f>
        <v/>
      </c>
      <c r="P327" s="69" t="str">
        <f>IF(ISBLANK(L327),"",IF(M327=0,0,IF(L327=1,H327+(M327-1)*H327,(H327+(L327-1)*G324)+(H327+(L327-1)*G324)*(M327-1))))</f>
        <v/>
      </c>
      <c r="Q327" s="70" t="str">
        <f>IF(ISBLANK(L327),"",IF(N327=0,0,IF(L327=1,I327+(N327-1)*I327,(I327+(L327-1)*G325)+(I327+(L327-1)*G325)*(N327-1))))</f>
        <v/>
      </c>
      <c r="R327" s="71" t="str">
        <f>IF(ISBLANK(L327),"",IF(O327=0,0,IF(L327=1,F327+(O327-1)*J327,(F327+(L327-1)*G327)+(J327+(L327-1)*G327)*(O327-1))))</f>
        <v/>
      </c>
      <c r="S327" s="64" t="str">
        <f>IF(ISBLANK(L327),"",IF(O327=0,"",P327+Q327+R327))</f>
        <v/>
      </c>
    </row>
    <row r="328" spans="1:19" x14ac:dyDescent="0.4">
      <c r="A328" s="45" t="s">
        <v>35</v>
      </c>
      <c r="B328" s="46" t="s">
        <v>110</v>
      </c>
      <c r="C328" s="46" t="s">
        <v>0</v>
      </c>
      <c r="D328" s="51" t="s">
        <v>264</v>
      </c>
      <c r="E328" s="67" t="str">
        <f>IF('National currencies'!E328="","",'National currencies'!E328)</f>
        <v/>
      </c>
      <c r="F328" s="66">
        <f>'National currencies'!F328/'Exchange rates'!B6</f>
        <v>8488.8594164456226</v>
      </c>
      <c r="G328" s="65">
        <v>0</v>
      </c>
      <c r="H328" s="66">
        <f>'National currencies'!H328/'Exchange rates'!B6</f>
        <v>0</v>
      </c>
      <c r="I328" s="48">
        <f>'National currencies'!I328/'Exchange rates'!B6</f>
        <v>962.06896551724128</v>
      </c>
      <c r="J328" s="48">
        <f>'National currencies'!J328/'Exchange rates'!B6</f>
        <v>8488.8594164456226</v>
      </c>
      <c r="K328" s="61"/>
      <c r="L328" s="220"/>
      <c r="M328" s="62" t="str">
        <f>IF(ISBLANK(L328),"",IF(O2=0,0,M2))</f>
        <v/>
      </c>
      <c r="N328" s="49" t="str">
        <f>IF(ISBLANK(L328),"",IF(O2=0,0,N2))</f>
        <v/>
      </c>
      <c r="O328" s="63" t="str">
        <f>IF(ISBLANK(L328),"",O2)</f>
        <v/>
      </c>
      <c r="P328" s="69" t="str">
        <f>IF(ISBLANK(L328),"",IF(M328=0,0,IF(L328=1,H328+(M328-1)*H328,(H328+(L328-1)*G324)+(H328+(L328-1)*G324)*(M328-1))))</f>
        <v/>
      </c>
      <c r="Q328" s="70" t="str">
        <f>IF(ISBLANK(L328),"",IF(N328=0,0,IF(L328=1,I328+(N328-1)*I328,(I328+(L328-1)*G326)+(I328+(L328-1)*G326)*(N328-1))))</f>
        <v/>
      </c>
      <c r="R328" s="71" t="str">
        <f>IF(ISBLANK(L328),"",IF(O328=0,0,IF(L328=1,F328+(O328-1)*J328,(F328+(L328-1)*G328)+(J328+(L328-1)*G328)*(O328-1))))</f>
        <v/>
      </c>
      <c r="S328" s="64" t="str">
        <f>IF(ISBLANK(L328),"",IF(O328=0,"",P328+Q328+R328))</f>
        <v/>
      </c>
    </row>
    <row r="329" spans="1:19" x14ac:dyDescent="0.4">
      <c r="A329" s="45" t="s">
        <v>37</v>
      </c>
      <c r="B329" s="46" t="s">
        <v>108</v>
      </c>
      <c r="C329" s="46" t="s">
        <v>1</v>
      </c>
      <c r="D329" s="51"/>
      <c r="E329" s="67" t="str">
        <f>IF('National currencies'!E329="","",'National currencies'!E329)</f>
        <v/>
      </c>
      <c r="F329" s="66">
        <f>'National currencies'!F329/'Exchange rates'!B7</f>
        <v>829.69059652383339</v>
      </c>
      <c r="G329" s="65">
        <f>Tabelle3[[#This Row],[1st strength]]*0.8</f>
        <v>663.7524772190668</v>
      </c>
      <c r="H329" s="66">
        <f>'National currencies'!H329/'Exchange rates'!B7</f>
        <v>829.69059652383339</v>
      </c>
      <c r="I329" s="48"/>
      <c r="J329" s="48"/>
      <c r="K329" s="61"/>
      <c r="L329" s="220"/>
      <c r="M329" s="62" t="str">
        <f>IF(ISBLANK(L329),"",IF((N2+O2)&gt;0,0,M2))</f>
        <v/>
      </c>
      <c r="N329" s="49"/>
      <c r="O329" s="63"/>
      <c r="P329" s="69" t="str">
        <f>IF(ISBLANK(L329),"",IF(M329=0,0,IF(L329=1,F329+(M329-1)*H329,(F329+(L329-1)*G329)+(H329+(L329-1)*G329)*(M329-1))))</f>
        <v/>
      </c>
      <c r="Q329" s="70"/>
      <c r="R329" s="71"/>
      <c r="S329" s="64" t="str">
        <f>IF(ISBLANK(L329),"",IF(M329=0,"",P329))</f>
        <v/>
      </c>
    </row>
    <row r="330" spans="1:19" x14ac:dyDescent="0.4">
      <c r="A330" s="45" t="s">
        <v>37</v>
      </c>
      <c r="B330" s="46" t="s">
        <v>108</v>
      </c>
      <c r="C330" s="46" t="s">
        <v>1</v>
      </c>
      <c r="D330" s="54" t="s">
        <v>309</v>
      </c>
      <c r="E330" s="67" t="str">
        <f>IF('National currencies'!E330="","",'National currencies'!E330)</f>
        <v/>
      </c>
      <c r="F330" s="66">
        <f>'National currencies'!F330/'Exchange rates'!B7</f>
        <v>99.562871582860012</v>
      </c>
      <c r="G330" s="65">
        <f>Tabelle3[[#This Row],[1st strength]]*0.8</f>
        <v>79.650297266288021</v>
      </c>
      <c r="H330" s="66">
        <f>'National currencies'!H330/'Exchange rates'!B7</f>
        <v>829.69059652383339</v>
      </c>
      <c r="I330" s="48"/>
      <c r="J330" s="48"/>
      <c r="K330" s="61"/>
      <c r="L330" s="220"/>
      <c r="M330" s="62" t="str">
        <f>IF(ISBLANK(L330),"",IF((N2+O2)&gt;0,0,M2))</f>
        <v/>
      </c>
      <c r="N330" s="49"/>
      <c r="O330" s="63"/>
      <c r="P330" s="69" t="str">
        <f>IF(ISBLANK(L330),"",IF(M330=0,0,IF(L330=1,F330+(M330-1)*H330,(F330+(L330-1)*G330)+(H330+(L330-1)*G330)*(M330-1))))</f>
        <v/>
      </c>
      <c r="Q330" s="70"/>
      <c r="R330" s="71"/>
      <c r="S330" s="64" t="str">
        <f>IF(ISBLANK(L330),"",IF(M330=0,"",P330))</f>
        <v/>
      </c>
    </row>
    <row r="331" spans="1:19" x14ac:dyDescent="0.4">
      <c r="A331" s="45" t="s">
        <v>37</v>
      </c>
      <c r="B331" s="46" t="s">
        <v>109</v>
      </c>
      <c r="C331" s="46" t="s">
        <v>1</v>
      </c>
      <c r="D331" s="51"/>
      <c r="E331" s="67" t="str">
        <f>IF('National currencies'!E331="","",'National currencies'!E331)</f>
        <v/>
      </c>
      <c r="F331" s="66">
        <f>'National currencies'!F331/'Exchange rates'!B7</f>
        <v>1194.7544589943202</v>
      </c>
      <c r="G331" s="65">
        <f>Tabelle3[[#This Row],[1st strength]]*0.8</f>
        <v>955.80356719545625</v>
      </c>
      <c r="H331" s="66">
        <f>'National currencies'!H331/'Exchange rates'!B7</f>
        <v>829.69059652383339</v>
      </c>
      <c r="I331" s="48">
        <f>'National currencies'!I331/'Exchange rates'!B7</f>
        <v>1194.7544589943202</v>
      </c>
      <c r="J331" s="48"/>
      <c r="K331" s="61"/>
      <c r="L331" s="220"/>
      <c r="M331" s="62" t="str">
        <f>IF(ISBLANK(L331),"",IF(O2&gt;0,0,IF(N2=0,0,M2)))</f>
        <v/>
      </c>
      <c r="N331" s="49" t="str">
        <f>IF(ISBLANK(L331),"",IF(O2&gt;0,0,N2))</f>
        <v/>
      </c>
      <c r="O331" s="63"/>
      <c r="P331" s="69" t="str">
        <f>IF(ISBLANK(L331),"",IF(M331=0,0,IF(L331=1,H331+(M331-1)*H331,(H331+(L331-1)*G329)+(H331+(L331-1)*G329)*(M331-1))))</f>
        <v/>
      </c>
      <c r="Q331" s="70" t="str">
        <f>IF(ISBLANK(L331),"",IF(N331=0,0,IF(L331=1,F331+(N331-1)*I331,(F331+(L331-1)*G331)+(I331+(L331-1)*G331)*(N331-1))))</f>
        <v/>
      </c>
      <c r="R331" s="71"/>
      <c r="S331" s="64" t="str">
        <f>IF(ISBLANK(L331),"",IF(N331=0,"",IF(L331=1,IF((P331+Q331)&gt;(2*F331),2*F331,P331+Q331),IF((M331+N331)&gt;1,2*F331+(L331-1)*F331*0.8,P331+Q331))))</f>
        <v/>
      </c>
    </row>
    <row r="332" spans="1:19" x14ac:dyDescent="0.4">
      <c r="A332" s="45" t="s">
        <v>37</v>
      </c>
      <c r="B332" s="46" t="s">
        <v>110</v>
      </c>
      <c r="C332" s="46" t="s">
        <v>1</v>
      </c>
      <c r="D332" s="51"/>
      <c r="E332" s="67" t="str">
        <f>IF('National currencies'!E332="","",'National currencies'!E332)</f>
        <v/>
      </c>
      <c r="F332" s="66">
        <f>'National currencies'!F332/'Exchange rates'!B7</f>
        <v>4779.0178359772808</v>
      </c>
      <c r="G332" s="65">
        <f>Tabelle3[[#This Row],[1st strength]]*0.8</f>
        <v>3823.214268781825</v>
      </c>
      <c r="H332" s="66">
        <f>'National currencies'!H332/'Exchange rates'!B7</f>
        <v>829.69059652383339</v>
      </c>
      <c r="I332" s="48">
        <f>'National currencies'!I332/'Exchange rates'!B7</f>
        <v>1194.7544589943202</v>
      </c>
      <c r="J332" s="48">
        <f>'National currencies'!J332/'Exchange rates'!B7</f>
        <v>4779.0178359772808</v>
      </c>
      <c r="K332" s="61"/>
      <c r="L332" s="220"/>
      <c r="M332" s="62" t="str">
        <f>IF(ISBLANK(L332),"",IF(O2=0,0,M2))</f>
        <v/>
      </c>
      <c r="N332" s="49" t="str">
        <f>IF(ISBLANK(L332),"",IF(O2=0,0,N2))</f>
        <v/>
      </c>
      <c r="O332" s="63" t="str">
        <f>IF(ISBLANK(L332),"",O2)</f>
        <v/>
      </c>
      <c r="P332" s="69" t="str">
        <f>IF(ISBLANK(L332),"",IF(M332=0,0,IF(L332=1,H332+(M332-1)*H332,(H332+(L332-1)*G329)+(H332+(L332-1)*G329)*(M332-1))))</f>
        <v/>
      </c>
      <c r="Q332" s="70" t="str">
        <f>IF(ISBLANK(L332),"",IF(N332=0,0,IF(L332=1,I332+(N332-1)*I332,(I332+(L332-1)*G331)+(I332+(L332-1)*G331)*(N332-1))))</f>
        <v/>
      </c>
      <c r="R332" s="71" t="str">
        <f>IF(ISBLANK(L332),"",IF(O332=0,0,IF(L332=1,F332+(O332-1)*J332,(F332+(L332-1)*G332)+(J332+(L332-1)*G332)*(O332-1))))</f>
        <v/>
      </c>
      <c r="S332" s="64" t="str">
        <f>IF(ISBLANK(L332),"",IF(O332=0,"",IF(L332=1,IF((P332+Q332+R332)&gt;(2*F332),2*F332,P332+Q332+R332),IF((M332+N332+O332)&gt;1,2*F332+(L332-1)*F332*0.8,P332+Q332+R332))))</f>
        <v/>
      </c>
    </row>
    <row r="333" spans="1:19" x14ac:dyDescent="0.4">
      <c r="A333" s="45" t="s">
        <v>37</v>
      </c>
      <c r="B333" s="46" t="s">
        <v>108</v>
      </c>
      <c r="C333" s="46" t="s">
        <v>2</v>
      </c>
      <c r="D333" s="51"/>
      <c r="E333" s="67" t="str">
        <f>IF('National currencies'!E333="","",'National currencies'!E333)</f>
        <v/>
      </c>
      <c r="F333" s="66">
        <f>'National currencies'!F333/'Exchange rates'!B7</f>
        <v>592.63614037416676</v>
      </c>
      <c r="G333" s="65">
        <f>Tabelle3[[#This Row],[1st strength]]*0.8</f>
        <v>474.10891229933344</v>
      </c>
      <c r="H333" s="66">
        <f>'National currencies'!H333/'Exchange rates'!B7</f>
        <v>592.63614037416676</v>
      </c>
      <c r="I333" s="48"/>
      <c r="J333" s="48"/>
      <c r="K333" s="61"/>
      <c r="L333" s="220"/>
      <c r="M333" s="62" t="str">
        <f>IF(ISBLANK(L333),"",IF((N2+O2)&gt;0,0,M2))</f>
        <v/>
      </c>
      <c r="N333" s="49"/>
      <c r="O333" s="63"/>
      <c r="P333" s="69" t="str">
        <f>IF(ISBLANK(L333),"",IF(M333=0,0,IF(L333=1,F333+(M333-1)*H333,(F333+(L333-1)*G333)+(H333+(L333-1)*G333)*(M333-1))))</f>
        <v/>
      </c>
      <c r="Q333" s="70"/>
      <c r="R333" s="71"/>
      <c r="S333" s="64" t="str">
        <f>IF(ISBLANK(L333),"",IF(M333=0,"",P333))</f>
        <v/>
      </c>
    </row>
    <row r="334" spans="1:19" x14ac:dyDescent="0.4">
      <c r="A334" s="45" t="s">
        <v>37</v>
      </c>
      <c r="B334" s="46" t="s">
        <v>108</v>
      </c>
      <c r="C334" s="46" t="s">
        <v>2</v>
      </c>
      <c r="D334" s="54" t="s">
        <v>309</v>
      </c>
      <c r="E334" s="67" t="str">
        <f>IF('National currencies'!E334="","",'National currencies'!E334)</f>
        <v/>
      </c>
      <c r="F334" s="66">
        <f>'National currencies'!F334/'Exchange rates'!B7</f>
        <v>99.562871582860012</v>
      </c>
      <c r="G334" s="65">
        <f>Tabelle3[[#This Row],[1st strength]]*0.8</f>
        <v>79.650297266288021</v>
      </c>
      <c r="H334" s="66">
        <f>'National currencies'!H334/'Exchange rates'!B7</f>
        <v>592.63614037416676</v>
      </c>
      <c r="I334" s="48"/>
      <c r="J334" s="48"/>
      <c r="K334" s="61"/>
      <c r="L334" s="220"/>
      <c r="M334" s="62" t="str">
        <f>IF(ISBLANK(L334),"",IF((N2+O2)&gt;0,0,M2))</f>
        <v/>
      </c>
      <c r="N334" s="49"/>
      <c r="O334" s="63"/>
      <c r="P334" s="69" t="str">
        <f>IF(ISBLANK(L334),"",IF(M334=0,0,IF(L334=1,F334+(M334-1)*H334,(F334+(L334-1)*G334)+(H334+(L334-1)*G334)*(M334-1))))</f>
        <v/>
      </c>
      <c r="Q334" s="70"/>
      <c r="R334" s="71"/>
      <c r="S334" s="64" t="str">
        <f>IF(ISBLANK(L334),"",IF(M334=0,"",P334))</f>
        <v/>
      </c>
    </row>
    <row r="335" spans="1:19" x14ac:dyDescent="0.4">
      <c r="A335" s="45" t="s">
        <v>37</v>
      </c>
      <c r="B335" s="46" t="s">
        <v>109</v>
      </c>
      <c r="C335" s="46" t="s">
        <v>2</v>
      </c>
      <c r="D335" s="51"/>
      <c r="E335" s="67" t="str">
        <f>IF('National currencies'!E335="","",'National currencies'!E335)</f>
        <v/>
      </c>
      <c r="F335" s="66">
        <f>'National currencies'!F335/'Exchange rates'!B7</f>
        <v>995.62871582860009</v>
      </c>
      <c r="G335" s="65">
        <f>Tabelle3[[#This Row],[1st strength]]*0.8</f>
        <v>796.5029726628801</v>
      </c>
      <c r="H335" s="66">
        <f>'National currencies'!H335/'Exchange rates'!B7</f>
        <v>592.63614037416676</v>
      </c>
      <c r="I335" s="48">
        <f>'National currencies'!I335/'Exchange rates'!B7</f>
        <v>995.62871582860009</v>
      </c>
      <c r="J335" s="48"/>
      <c r="K335" s="61"/>
      <c r="L335" s="220"/>
      <c r="M335" s="62" t="str">
        <f>IF(ISBLANK(L335),"",IF(O2&gt;0,0,IF(N2=0,0,M2)))</f>
        <v/>
      </c>
      <c r="N335" s="49" t="str">
        <f>IF(ISBLANK(L335),"",IF(O2&gt;0,0,N2))</f>
        <v/>
      </c>
      <c r="O335" s="63"/>
      <c r="P335" s="69" t="str">
        <f>IF(ISBLANK(L335),"",IF(M335=0,0,IF(L335=1,H335+(M335-1)*H335,(H335+(L335-1)*G333)+(H335+(L335-1)*G333)*(M335-1))))</f>
        <v/>
      </c>
      <c r="Q335" s="70" t="str">
        <f>IF(ISBLANK(L335),"",IF(N335=0,0,IF(L335=1,F335+(N335-1)*I335,(F335+(L335-1)*G335)+(I335+(L335-1)*G335)*(N335-1))))</f>
        <v/>
      </c>
      <c r="R335" s="71"/>
      <c r="S335" s="64" t="str">
        <f>IF(ISBLANK(L335),"",IF(N335=0,"",IF(L335=1,IF((P335+Q335)&gt;(2*F335),2*F335,P335+Q335),IF((M335+N335)&gt;1,2*F335+(L335-1)*F335*0.8,P335+Q335))))</f>
        <v/>
      </c>
    </row>
    <row r="336" spans="1:19" x14ac:dyDescent="0.4">
      <c r="A336" s="45" t="s">
        <v>37</v>
      </c>
      <c r="B336" s="46" t="s">
        <v>109</v>
      </c>
      <c r="C336" s="46" t="s">
        <v>2</v>
      </c>
      <c r="D336" s="54" t="s">
        <v>36</v>
      </c>
      <c r="E336" s="67" t="str">
        <f>IF('National currencies'!E336="","",'National currencies'!E336)</f>
        <v/>
      </c>
      <c r="F336" s="66">
        <f>'National currencies'!F336/'Exchange rates'!B7</f>
        <v>99.562871582860012</v>
      </c>
      <c r="G336" s="65">
        <f>Tabelle3[[#This Row],[1st strength]]*0.8</f>
        <v>79.650297266288021</v>
      </c>
      <c r="H336" s="66">
        <f>'National currencies'!H336/'Exchange rates'!B7</f>
        <v>592.63614037416676</v>
      </c>
      <c r="I336" s="48">
        <f>'National currencies'!I336/'Exchange rates'!B7</f>
        <v>995.62871582860009</v>
      </c>
      <c r="J336" s="48"/>
      <c r="K336" s="61"/>
      <c r="L336" s="220"/>
      <c r="M336" s="62" t="str">
        <f>IF(ISBLANK(L336),"",IF(O2&gt;0,0,IF(N2=0,0,M2)))</f>
        <v/>
      </c>
      <c r="N336" s="49" t="str">
        <f>IF(ISBLANK(L336),"",IF(O2&gt;0,0,N2))</f>
        <v/>
      </c>
      <c r="O336" s="63"/>
      <c r="P336" s="69" t="str">
        <f>IF(ISBLANK(L336),"",IF(M336=0,0,IF(L336=1,H336+(M336-1)*H336,(H336+(L336-1)*G333)+(H336+(L336-1)*G333)*(M336-1))))</f>
        <v/>
      </c>
      <c r="Q336" s="70" t="str">
        <f>IF(ISBLANK(L336),"",IF(N336=0,0,IF(L336=1,F336+(N336-1)*I336,(F336+(L336-1)*G336)+(I336+(L336-1)*G336)*(N336-1))))</f>
        <v/>
      </c>
      <c r="R336" s="71"/>
      <c r="S336" s="64" t="str">
        <f>IF(ISBLANK(L336),"",IF(N336=0,"",IF(L336=1,IF((P336+Q336)&gt;(2*F336),2*F336,P336+Q336),IF((M336+N336)&gt;1,2*F336+(L336-1)*F336*0.8,P336+Q336))))</f>
        <v/>
      </c>
    </row>
    <row r="337" spans="1:19" x14ac:dyDescent="0.4">
      <c r="A337" s="45" t="s">
        <v>37</v>
      </c>
      <c r="B337" s="46" t="s">
        <v>110</v>
      </c>
      <c r="C337" s="46" t="s">
        <v>2</v>
      </c>
      <c r="D337" s="51"/>
      <c r="E337" s="67" t="str">
        <f>IF('National currencies'!E337="","",'National currencies'!E337)</f>
        <v/>
      </c>
      <c r="F337" s="66">
        <f>'National currencies'!F337/'Exchange rates'!B7</f>
        <v>3982.5148633144004</v>
      </c>
      <c r="G337" s="65">
        <f>Tabelle3[[#This Row],[1st strength]]*0.8</f>
        <v>3186.0118906515204</v>
      </c>
      <c r="H337" s="66">
        <f>'National currencies'!H337/'Exchange rates'!B7</f>
        <v>592.63614037416676</v>
      </c>
      <c r="I337" s="48">
        <f>'National currencies'!I337/'Exchange rates'!B7</f>
        <v>995.62871582860009</v>
      </c>
      <c r="J337" s="48">
        <f>'National currencies'!J337/'Exchange rates'!B7</f>
        <v>3982.5148633144004</v>
      </c>
      <c r="K337" s="61"/>
      <c r="L337" s="220"/>
      <c r="M337" s="62" t="str">
        <f>IF(ISBLANK(L337),"",IF(O2=0,0,M2))</f>
        <v/>
      </c>
      <c r="N337" s="49" t="str">
        <f>IF(ISBLANK(L337),"",IF(O2=0,0,N2))</f>
        <v/>
      </c>
      <c r="O337" s="63" t="str">
        <f>IF(ISBLANK(L337),"",O2)</f>
        <v/>
      </c>
      <c r="P337" s="69" t="str">
        <f>IF(ISBLANK(L337),"",IF(M337=0,0,IF(L337=1,H337+(M337-1)*H337,(H337+(L337-1)*G333)+(H337+(L337-1)*G333)*(M337-1))))</f>
        <v/>
      </c>
      <c r="Q337" s="70" t="str">
        <f>IF(ISBLANK(L337),"",IF(N337=0,0,IF(L337=1,I337+(N337-1)*I337,(I337+(L337-1)*G336)+(I337+(L337-1)*G336)*(N337-1))))</f>
        <v/>
      </c>
      <c r="R337" s="71" t="str">
        <f>IF(ISBLANK(L337),"",IF(O337=0,0,IF(L337=1,F337+(O337-1)*J337,(F337+(L337-1)*G337)+(J337+(L337-1)*G337)*(O337-1))))</f>
        <v/>
      </c>
      <c r="S337" s="64" t="str">
        <f>IF(ISBLANK(L337),"",IF(O337=0,"",IF(L337=1,IF((P337+Q337+R337)&gt;(2*F337),2*F337,P337+Q337+R337),IF((M337+N337+O337)&gt;1,2*F337+(L337-1)*F337*0.8,P337+Q337+R337))))</f>
        <v/>
      </c>
    </row>
    <row r="338" spans="1:19" x14ac:dyDescent="0.4">
      <c r="A338" s="45" t="s">
        <v>37</v>
      </c>
      <c r="B338" s="46" t="s">
        <v>108</v>
      </c>
      <c r="C338" s="46" t="s">
        <v>0</v>
      </c>
      <c r="D338" s="51"/>
      <c r="E338" s="67" t="str">
        <f>IF('National currencies'!E338="","",'National currencies'!E338)</f>
        <v/>
      </c>
      <c r="F338" s="66">
        <f>'National currencies'!F338/'Exchange rates'!B7</f>
        <v>592.63614037416676</v>
      </c>
      <c r="G338" s="65">
        <f>Tabelle3[[#This Row],[1st strength]]*0.8</f>
        <v>474.10891229933344</v>
      </c>
      <c r="H338" s="66">
        <f>'National currencies'!H338/'Exchange rates'!B7</f>
        <v>592.63614037416676</v>
      </c>
      <c r="I338" s="48"/>
      <c r="J338" s="48"/>
      <c r="K338" s="61"/>
      <c r="L338" s="220"/>
      <c r="M338" s="62" t="str">
        <f>IF(ISBLANK(L338),"",IF((N2+O2)&gt;0,0,M2))</f>
        <v/>
      </c>
      <c r="N338" s="49"/>
      <c r="O338" s="63"/>
      <c r="P338" s="69" t="str">
        <f>IF(ISBLANK(L338),"",IF(M338=0,0,IF(L338=1,F338+(M338-1)*H338,(F338+(L338-1)*G338)+(H338+(L338-1)*G338)*(M338-1))))</f>
        <v/>
      </c>
      <c r="Q338" s="70"/>
      <c r="R338" s="71"/>
      <c r="S338" s="64" t="str">
        <f>IF(ISBLANK(L338),"",IF(M338=0,"",P338))</f>
        <v/>
      </c>
    </row>
    <row r="339" spans="1:19" x14ac:dyDescent="0.4">
      <c r="A339" s="45" t="s">
        <v>37</v>
      </c>
      <c r="B339" s="46" t="s">
        <v>108</v>
      </c>
      <c r="C339" s="46" t="s">
        <v>0</v>
      </c>
      <c r="D339" s="54" t="s">
        <v>309</v>
      </c>
      <c r="E339" s="67" t="str">
        <f>IF('National currencies'!E339="","",'National currencies'!E339)</f>
        <v/>
      </c>
      <c r="F339" s="66">
        <f>'National currencies'!F339/'Exchange rates'!B7</f>
        <v>99.562871582860012</v>
      </c>
      <c r="G339" s="65">
        <f>Tabelle3[[#This Row],[1st strength]]*0.8</f>
        <v>79.650297266288021</v>
      </c>
      <c r="H339" s="66">
        <f>'National currencies'!H339/'Exchange rates'!B7</f>
        <v>592.63614037416676</v>
      </c>
      <c r="I339" s="48"/>
      <c r="J339" s="48"/>
      <c r="K339" s="61"/>
      <c r="L339" s="220"/>
      <c r="M339" s="62" t="str">
        <f>IF(ISBLANK(L339),"",IF((N2+O2)&gt;0,0,M2))</f>
        <v/>
      </c>
      <c r="N339" s="49"/>
      <c r="O339" s="63"/>
      <c r="P339" s="69" t="str">
        <f>IF(ISBLANK(L339),"",IF(M339=0,0,IF(L339=1,F339+(M339-1)*H339,(F339+(L339-1)*G339)+(H339+(L339-1)*G339)*(M339-1))))</f>
        <v/>
      </c>
      <c r="Q339" s="70"/>
      <c r="R339" s="71"/>
      <c r="S339" s="64" t="str">
        <f>IF(ISBLANK(L339),"",IF(M339=0,"",P339))</f>
        <v/>
      </c>
    </row>
    <row r="340" spans="1:19" x14ac:dyDescent="0.4">
      <c r="A340" s="45" t="s">
        <v>37</v>
      </c>
      <c r="B340" s="46" t="s">
        <v>109</v>
      </c>
      <c r="C340" s="46" t="s">
        <v>0</v>
      </c>
      <c r="D340" s="51"/>
      <c r="E340" s="67" t="str">
        <f>IF('National currencies'!E340="","",'National currencies'!E340)</f>
        <v/>
      </c>
      <c r="F340" s="66">
        <f>'National currencies'!F340/'Exchange rates'!B7</f>
        <v>995.62871582860009</v>
      </c>
      <c r="G340" s="65">
        <f>Tabelle3[[#This Row],[1st strength]]*0.8</f>
        <v>796.5029726628801</v>
      </c>
      <c r="H340" s="66">
        <f>'National currencies'!H340/'Exchange rates'!B7</f>
        <v>592.63614037416676</v>
      </c>
      <c r="I340" s="48">
        <f>'National currencies'!I340/'Exchange rates'!B7</f>
        <v>995.62871582860009</v>
      </c>
      <c r="J340" s="48"/>
      <c r="K340" s="61"/>
      <c r="L340" s="220"/>
      <c r="M340" s="62" t="str">
        <f>IF(ISBLANK(L340),"",IF(O2&gt;0,0,IF(N2=0,0,M2)))</f>
        <v/>
      </c>
      <c r="N340" s="49" t="str">
        <f>IF(ISBLANK(L340),"",IF(O2&gt;0,0,N2))</f>
        <v/>
      </c>
      <c r="O340" s="63"/>
      <c r="P340" s="69" t="str">
        <f>IF(ISBLANK(L340),"",IF(M340=0,0,IF(L340=1,H340+(M340-1)*H340,(H340+(L340-1)*G338)+(H340+(L340-1)*G338)*(M340-1))))</f>
        <v/>
      </c>
      <c r="Q340" s="70" t="str">
        <f>IF(ISBLANK(L340),"",IF(N340=0,0,IF(L340=1,F340+(N340-1)*I340,(F340+(L340-1)*G340)+(I340+(L340-1)*G340)*(N340-1))))</f>
        <v/>
      </c>
      <c r="R340" s="71"/>
      <c r="S340" s="64" t="str">
        <f>IF(ISBLANK(L340),"",IF(N340=0,"",IF(L340=1,IF((P340+Q340)&gt;(2*F340),2*F340,P340+Q340),IF((M340+N340)&gt;1,2*F340+(L340-1)*F340*0.8,P340+Q340))))</f>
        <v/>
      </c>
    </row>
    <row r="341" spans="1:19" x14ac:dyDescent="0.4">
      <c r="A341" s="45" t="s">
        <v>37</v>
      </c>
      <c r="B341" s="46" t="s">
        <v>110</v>
      </c>
      <c r="C341" s="46" t="s">
        <v>0</v>
      </c>
      <c r="D341" s="51"/>
      <c r="E341" s="67" t="str">
        <f>IF('National currencies'!E341="","",'National currencies'!E341)</f>
        <v/>
      </c>
      <c r="F341" s="66">
        <f>'National currencies'!F341/'Exchange rates'!B7</f>
        <v>3982.5148633144004</v>
      </c>
      <c r="G341" s="65">
        <f>Tabelle3[[#This Row],[1st strength]]*0.8</f>
        <v>3186.0118906515204</v>
      </c>
      <c r="H341" s="66">
        <f>'National currencies'!H341/'Exchange rates'!B7</f>
        <v>592.63614037416676</v>
      </c>
      <c r="I341" s="48">
        <f>'National currencies'!I341/'Exchange rates'!B7</f>
        <v>995.62871582860009</v>
      </c>
      <c r="J341" s="48">
        <f>'National currencies'!J341/'Exchange rates'!B7</f>
        <v>3982.5148633144004</v>
      </c>
      <c r="K341" s="61"/>
      <c r="L341" s="220"/>
      <c r="M341" s="62" t="str">
        <f>IF(ISBLANK(L341),"",IF(O2=0,0,M2))</f>
        <v/>
      </c>
      <c r="N341" s="49" t="str">
        <f>IF(ISBLANK(L341),"",IF(O2=0,0,N2))</f>
        <v/>
      </c>
      <c r="O341" s="63" t="str">
        <f>IF(ISBLANK(L341),"",O2)</f>
        <v/>
      </c>
      <c r="P341" s="69" t="str">
        <f>IF(ISBLANK(L341),"",IF(M341=0,0,IF(L341=1,H341+(M341-1)*H341,(H341+(L341-1)*G338)+(H341+(L341-1)*G338)*(M341-1))))</f>
        <v/>
      </c>
      <c r="Q341" s="70" t="str">
        <f>IF(ISBLANK(L341),"",IF(N341=0,0,IF(L341=1,I341+(N341-1)*I341,(I341+(L341-1)*G340)+(I341+(L341-1)*G340)*(N341-1))))</f>
        <v/>
      </c>
      <c r="R341" s="71" t="str">
        <f>IF(ISBLANK(L341),"",IF(O341=0,0,IF(L341=1,F341+(O341-1)*J341,(F341+(L341-1)*G341)+(J341+(L341-1)*G341)*(O341-1))))</f>
        <v/>
      </c>
      <c r="S341" s="64" t="str">
        <f>IF(ISBLANK(L341),"",IF(O341=0,"",IF(L341=1,IF((P341+Q341+R341)&gt;(2*F341),2*F341,P341+Q341+R341),IF((M341+N341+O341)&gt;1,2*F341+(L341-1)*F341*0.8,P341+Q341+R341))))</f>
        <v/>
      </c>
    </row>
    <row r="342" spans="1:19" x14ac:dyDescent="0.4">
      <c r="A342" s="45" t="s">
        <v>39</v>
      </c>
      <c r="B342" s="46" t="s">
        <v>108</v>
      </c>
      <c r="C342" s="46" t="s">
        <v>1</v>
      </c>
      <c r="D342" s="47"/>
      <c r="E342" s="67" t="str">
        <f>IF('National currencies'!E342="","",'National currencies'!E342)</f>
        <v>5.a) i)</v>
      </c>
      <c r="F342" s="66">
        <f>'National currencies'!F342</f>
        <v>797.94</v>
      </c>
      <c r="G342" s="65">
        <f>'National currencies'!G342</f>
        <v>271.10000000000002</v>
      </c>
      <c r="H342" s="66">
        <f>'National currencies'!H342</f>
        <v>797.94</v>
      </c>
      <c r="I342" s="48"/>
      <c r="J342" s="48"/>
      <c r="K342" s="61"/>
      <c r="L342" s="220"/>
      <c r="M342" s="62" t="str">
        <f>IF(ISBLANK(L342),"",IF((N2+O2)&gt;0,0,M2))</f>
        <v/>
      </c>
      <c r="N342" s="49"/>
      <c r="O342" s="63"/>
      <c r="P342" s="68" t="str">
        <f>IF(ISBLANK(L342),"",IF(M342=0,0,IF(L342=1,F342+(M342-1)*H342,(F342+(L342-1)*G342)+(H342+(L342-1)*G342)*(M342-1))))</f>
        <v/>
      </c>
      <c r="Q342" s="72"/>
      <c r="R342" s="73"/>
      <c r="S342" s="64" t="str">
        <f>IF(ISBLANK(L342),"",IF(M342=0,"",P342))</f>
        <v/>
      </c>
    </row>
    <row r="343" spans="1:19" x14ac:dyDescent="0.4">
      <c r="A343" s="45" t="s">
        <v>39</v>
      </c>
      <c r="B343" s="46" t="s">
        <v>108</v>
      </c>
      <c r="C343" s="46" t="s">
        <v>1</v>
      </c>
      <c r="D343" s="47" t="s">
        <v>179</v>
      </c>
      <c r="E343" s="67" t="str">
        <f>IF('National currencies'!E343="","",'National currencies'!E343)</f>
        <v>5.a) iii)</v>
      </c>
      <c r="F343" s="66">
        <f>'National currencies'!F343</f>
        <v>184.14</v>
      </c>
      <c r="G343" s="65">
        <f>'National currencies'!G343</f>
        <v>184.14</v>
      </c>
      <c r="H343" s="66">
        <f>'National currencies'!H343</f>
        <v>184.14</v>
      </c>
      <c r="I343" s="48"/>
      <c r="J343" s="48"/>
      <c r="K343" s="61"/>
      <c r="L343" s="220"/>
      <c r="M343" s="62" t="str">
        <f>IF(ISBLANK(L343),"",IF((N2+O2)&gt;0,0,M2))</f>
        <v/>
      </c>
      <c r="N343" s="49"/>
      <c r="O343" s="63"/>
      <c r="P343" s="68" t="str">
        <f>IF(ISBLANK(L343),"",IF(M343=0,0,IF(L343=1,F343+(M343-1)*H343,(F343+(L343-1)*G343)+(H343+(L343-1)*G343)*(M343-1))))</f>
        <v/>
      </c>
      <c r="Q343" s="72"/>
      <c r="R343" s="73"/>
      <c r="S343" s="64" t="str">
        <f>IF(ISBLANK(L343),"",IF(M343=0,"",P343))</f>
        <v/>
      </c>
    </row>
    <row r="344" spans="1:19" x14ac:dyDescent="0.4">
      <c r="A344" s="45" t="s">
        <v>39</v>
      </c>
      <c r="B344" s="46" t="s">
        <v>109</v>
      </c>
      <c r="C344" s="46" t="s">
        <v>1</v>
      </c>
      <c r="D344" s="47"/>
      <c r="E344" s="67" t="str">
        <f>IF('National currencies'!E344="","",'National currencies'!E344)</f>
        <v>5.a) i)</v>
      </c>
      <c r="F344" s="66">
        <f>'National currencies'!F344</f>
        <v>797.94</v>
      </c>
      <c r="G344" s="65">
        <f>'National currencies'!G344</f>
        <v>271.10000000000002</v>
      </c>
      <c r="H344" s="66">
        <f>'National currencies'!H344</f>
        <v>797.94</v>
      </c>
      <c r="I344" s="48">
        <f>'National currencies'!I344</f>
        <v>797.94</v>
      </c>
      <c r="J344" s="48"/>
      <c r="K344" s="61"/>
      <c r="L344" s="220"/>
      <c r="M344" s="62" t="str">
        <f>IF(ISBLANK(L344),"",IF(O2&gt;0,0,IF(N2=0,0,M2)))</f>
        <v/>
      </c>
      <c r="N344" s="49" t="str">
        <f>IF(ISBLANK(L344),"",IF(O2&gt;0,0,N2))</f>
        <v/>
      </c>
      <c r="O344" s="63"/>
      <c r="P344" s="68" t="str">
        <f>IF(ISBLANK(L344),"",IF(M344=0,0,IF(L344=1,H344+(M344-1)*H344,(H344+(L344-1)*G342)+(H344+(L344-1)*G342)*(M344-1))))</f>
        <v/>
      </c>
      <c r="Q344" s="72" t="str">
        <f>IF(ISBLANK(L344),"",IF(N344=0,0,IF(L344=1,F344+(N344-1)*I344,(F344+(L344-1)*G344)+(I344+(L344-1)*G344)*(N344-1))))</f>
        <v/>
      </c>
      <c r="R344" s="73"/>
      <c r="S344" s="64" t="str">
        <f>IF(ISBLANK(L344),"",IF(N344=0,"",P344+Q344))</f>
        <v/>
      </c>
    </row>
    <row r="345" spans="1:19" x14ac:dyDescent="0.4">
      <c r="A345" s="45" t="s">
        <v>39</v>
      </c>
      <c r="B345" s="46" t="s">
        <v>110</v>
      </c>
      <c r="C345" s="46" t="s">
        <v>1</v>
      </c>
      <c r="D345" s="47"/>
      <c r="E345" s="67" t="str">
        <f>IF('National currencies'!E345="","",'National currencies'!E345)</f>
        <v>5.b) i)</v>
      </c>
      <c r="F345" s="66">
        <f>'National currencies'!F345</f>
        <v>1585.65</v>
      </c>
      <c r="G345" s="65">
        <f>'National currencies'!G345</f>
        <v>511.5</v>
      </c>
      <c r="H345" s="66">
        <f>'National currencies'!H345</f>
        <v>797.94</v>
      </c>
      <c r="I345" s="48">
        <f>'National currencies'!I345</f>
        <v>797.94</v>
      </c>
      <c r="J345" s="48">
        <f>'National currencies'!J345</f>
        <v>1585.65</v>
      </c>
      <c r="K345" s="61"/>
      <c r="L345" s="220"/>
      <c r="M345" s="62" t="str">
        <f>IF(ISBLANK(L345),"",IF(O2=0,0,M2))</f>
        <v/>
      </c>
      <c r="N345" s="49" t="str">
        <f>IF(ISBLANK(L345),"",IF(O2=0,0,N2))</f>
        <v/>
      </c>
      <c r="O345" s="63" t="str">
        <f>IF(ISBLANK(L345),"",O2)</f>
        <v/>
      </c>
      <c r="P345" s="68" t="str">
        <f>IF(ISBLANK(L345),"",IF(M345=0,0,IF(L345=1,H345+(M345-1)*H345,(H345+(L345-1)*G342)+(H345+(L345-1)*G342)*(M345-1))))</f>
        <v/>
      </c>
      <c r="Q345" s="72" t="str">
        <f>IF(ISBLANK(L345),"",IF(N345=0,0,IF(L345=1,I345+(N345-1)*I345,(I345+(L345-1)*G344)+(I345+(L345-1)*G344)*(N345-1))))</f>
        <v/>
      </c>
      <c r="R345" s="73" t="str">
        <f>IF(ISBLANK(L345),"",IF(O345=0,0,IF(L345=1,F345+(O345-1)*J345,(F345+(L345-1)*G345)+(J345+(L345-1)*G345)*(O345-1))))</f>
        <v/>
      </c>
      <c r="S345" s="64" t="str">
        <f>IF(ISBLANK(L345),"",IF(O345=0,"",P345+Q345+R345))</f>
        <v/>
      </c>
    </row>
    <row r="346" spans="1:19" x14ac:dyDescent="0.4">
      <c r="A346" s="45" t="s">
        <v>39</v>
      </c>
      <c r="B346" s="46" t="s">
        <v>108</v>
      </c>
      <c r="C346" s="46" t="s">
        <v>2</v>
      </c>
      <c r="D346" s="47"/>
      <c r="E346" s="67" t="str">
        <f>IF('National currencies'!E346="","",'National currencies'!E346)</f>
        <v>5.a) i)</v>
      </c>
      <c r="F346" s="66">
        <f>'National currencies'!F346</f>
        <v>797.94</v>
      </c>
      <c r="G346" s="65">
        <f>'National currencies'!G346</f>
        <v>271.10000000000002</v>
      </c>
      <c r="H346" s="66">
        <f>'National currencies'!H346</f>
        <v>797.94</v>
      </c>
      <c r="I346" s="48"/>
      <c r="J346" s="48"/>
      <c r="K346" s="61"/>
      <c r="L346" s="220"/>
      <c r="M346" s="62" t="str">
        <f>IF(ISBLANK(L346),"",IF((N2+O2)&gt;0,0,M2))</f>
        <v/>
      </c>
      <c r="N346" s="49"/>
      <c r="O346" s="63"/>
      <c r="P346" s="68" t="str">
        <f>IF(ISBLANK(L346),"",IF(M346=0,0,IF(L346=1,F346+(M346-1)*H346,(F346+(L346-1)*G346)+(H346+(L346-1)*G346)*(M346-1))))</f>
        <v/>
      </c>
      <c r="Q346" s="72"/>
      <c r="R346" s="73"/>
      <c r="S346" s="64" t="str">
        <f>IF(ISBLANK(L346),"",IF(M346=0,"",P346))</f>
        <v/>
      </c>
    </row>
    <row r="347" spans="1:19" x14ac:dyDescent="0.4">
      <c r="A347" s="45" t="s">
        <v>39</v>
      </c>
      <c r="B347" s="46" t="s">
        <v>108</v>
      </c>
      <c r="C347" s="46" t="s">
        <v>2</v>
      </c>
      <c r="D347" s="47" t="s">
        <v>179</v>
      </c>
      <c r="E347" s="67" t="str">
        <f>IF('National currencies'!E347="","",'National currencies'!E347)</f>
        <v>5.a) iii)</v>
      </c>
      <c r="F347" s="66">
        <f>'National currencies'!F347</f>
        <v>184.14</v>
      </c>
      <c r="G347" s="65">
        <f>'National currencies'!G347</f>
        <v>184.14</v>
      </c>
      <c r="H347" s="66">
        <f>'National currencies'!H347</f>
        <v>184.14</v>
      </c>
      <c r="I347" s="48"/>
      <c r="J347" s="48"/>
      <c r="K347" s="61"/>
      <c r="L347" s="220"/>
      <c r="M347" s="62" t="str">
        <f>IF(ISBLANK(L347),"",IF((N2+O2)&gt;0,0,M2))</f>
        <v/>
      </c>
      <c r="N347" s="49"/>
      <c r="O347" s="63"/>
      <c r="P347" s="68" t="str">
        <f>IF(ISBLANK(L347),"",IF(M347=0,0,IF(L347=1,F347+(M347-1)*H347,(F347+(L347-1)*G347)+(H347+(L347-1)*G347)*(M347-1))))</f>
        <v/>
      </c>
      <c r="Q347" s="72"/>
      <c r="R347" s="73"/>
      <c r="S347" s="64" t="str">
        <f>IF(ISBLANK(L347),"",IF(M347=0,"",P347))</f>
        <v/>
      </c>
    </row>
    <row r="348" spans="1:19" x14ac:dyDescent="0.4">
      <c r="A348" s="45" t="s">
        <v>39</v>
      </c>
      <c r="B348" s="46" t="s">
        <v>109</v>
      </c>
      <c r="C348" s="46" t="s">
        <v>2</v>
      </c>
      <c r="D348" s="47"/>
      <c r="E348" s="67" t="str">
        <f>IF('National currencies'!E348="","",'National currencies'!E348)</f>
        <v>5.a) i)</v>
      </c>
      <c r="F348" s="66">
        <f>'National currencies'!F348</f>
        <v>797.94</v>
      </c>
      <c r="G348" s="65">
        <f>'National currencies'!G348</f>
        <v>271.10000000000002</v>
      </c>
      <c r="H348" s="66">
        <f>'National currencies'!H348</f>
        <v>797.94</v>
      </c>
      <c r="I348" s="48">
        <f>'National currencies'!I348</f>
        <v>797.94</v>
      </c>
      <c r="J348" s="48"/>
      <c r="K348" s="61"/>
      <c r="L348" s="220"/>
      <c r="M348" s="62" t="str">
        <f>IF(ISBLANK(L348),"",IF(O2&gt;0,0,IF(N2=0,0,M2)))</f>
        <v/>
      </c>
      <c r="N348" s="49" t="str">
        <f>IF(ISBLANK(L348),"",IF(O2&gt;0,0,N2))</f>
        <v/>
      </c>
      <c r="O348" s="63"/>
      <c r="P348" s="68" t="str">
        <f>IF(ISBLANK(L348),"",IF(M348=0,0,IF(L348=1,H348+(M348-1)*H348,(H348+(L348-1)*G346)+(H348+(L348-1)*G346)*(M348-1))))</f>
        <v/>
      </c>
      <c r="Q348" s="72" t="str">
        <f>IF(ISBLANK(L348),"",IF(N348=0,0,IF(L348=1,F348+(N348-1)*I348,(F348+(L348-1)*G348)+(I348+(L348-1)*G348)*(N348-1))))</f>
        <v/>
      </c>
      <c r="R348" s="73"/>
      <c r="S348" s="64" t="str">
        <f>IF(ISBLANK(L348),"",IF(N348=0,"",P348+Q348))</f>
        <v/>
      </c>
    </row>
    <row r="349" spans="1:19" x14ac:dyDescent="0.4">
      <c r="A349" s="45" t="s">
        <v>39</v>
      </c>
      <c r="B349" s="46" t="s">
        <v>110</v>
      </c>
      <c r="C349" s="46" t="s">
        <v>2</v>
      </c>
      <c r="D349" s="47"/>
      <c r="E349" s="67" t="str">
        <f>IF('National currencies'!E349="","",'National currencies'!E349)</f>
        <v>5.b) i)</v>
      </c>
      <c r="F349" s="66">
        <f>'National currencies'!F349</f>
        <v>1585.65</v>
      </c>
      <c r="G349" s="65">
        <f>'National currencies'!G349</f>
        <v>511.5</v>
      </c>
      <c r="H349" s="66">
        <f>'National currencies'!H349</f>
        <v>797.94</v>
      </c>
      <c r="I349" s="48">
        <f>'National currencies'!I349</f>
        <v>797.94</v>
      </c>
      <c r="J349" s="48">
        <f>'National currencies'!J349</f>
        <v>1585.65</v>
      </c>
      <c r="K349" s="61"/>
      <c r="L349" s="220"/>
      <c r="M349" s="62" t="str">
        <f>IF(ISBLANK(L349),"",IF(O2=0,0,M2))</f>
        <v/>
      </c>
      <c r="N349" s="49" t="str">
        <f>IF(ISBLANK(L349),"",IF(O2=0,0,N2))</f>
        <v/>
      </c>
      <c r="O349" s="63" t="str">
        <f>IF(ISBLANK(L349),"",O2)</f>
        <v/>
      </c>
      <c r="P349" s="68" t="str">
        <f>IF(ISBLANK(L349),"",IF(M349=0,0,IF(L349=1,H349+(M349-1)*H349,(H349+(L349-1)*G346)+(H349+(L349-1)*G346)*(M349-1))))</f>
        <v/>
      </c>
      <c r="Q349" s="72" t="str">
        <f>IF(ISBLANK(L349),"",IF(N349=0,0,IF(L349=1,I349+(N349-1)*I349,(I349+(L349-1)*G348)+(I349+(L349-1)*G348)*(N349-1))))</f>
        <v/>
      </c>
      <c r="R349" s="73" t="str">
        <f>IF(ISBLANK(L349),"",IF(O349=0,0,IF(L349=1,F349+(O349-1)*J349,(F349+(L349-1)*G349)+(J349+(L349-1)*G349)*(O349-1))))</f>
        <v/>
      </c>
      <c r="S349" s="64" t="str">
        <f>IF(ISBLANK(L349),"",IF(O349=0,"",P349+Q349+R349))</f>
        <v/>
      </c>
    </row>
    <row r="350" spans="1:19" x14ac:dyDescent="0.4">
      <c r="A350" s="45" t="s">
        <v>39</v>
      </c>
      <c r="B350" s="46" t="s">
        <v>108</v>
      </c>
      <c r="C350" s="46" t="s">
        <v>0</v>
      </c>
      <c r="D350" s="47"/>
      <c r="E350" s="67" t="str">
        <f>IF('National currencies'!E350="","",'National currencies'!E350)</f>
        <v>5.a) i) + d)</v>
      </c>
      <c r="F350" s="66">
        <f>'National currencies'!F350</f>
        <v>478.76</v>
      </c>
      <c r="G350" s="65">
        <f>'National currencies'!G350</f>
        <v>162.66</v>
      </c>
      <c r="H350" s="66">
        <f>'National currencies'!H350</f>
        <v>478.76</v>
      </c>
      <c r="I350" s="48"/>
      <c r="J350" s="48"/>
      <c r="K350" s="61"/>
      <c r="L350" s="220"/>
      <c r="M350" s="62" t="str">
        <f>IF(ISBLANK(L350),"",IF((N2+O2)&gt;0,0,M2))</f>
        <v/>
      </c>
      <c r="N350" s="49"/>
      <c r="O350" s="63"/>
      <c r="P350" s="68" t="str">
        <f>IF(ISBLANK(L350),"",IF(M350=0,0,IF(L350=1,F350+(M350-1)*H350,(F350+(L350-1)*G350)+(H350+(L350-1)*G350)*(M350-1))))</f>
        <v/>
      </c>
      <c r="Q350" s="72"/>
      <c r="R350" s="73"/>
      <c r="S350" s="64" t="str">
        <f>IF(ISBLANK(L350),"",IF(M350=0,"",P350))</f>
        <v/>
      </c>
    </row>
    <row r="351" spans="1:19" x14ac:dyDescent="0.4">
      <c r="A351" s="45" t="s">
        <v>39</v>
      </c>
      <c r="B351" s="46" t="s">
        <v>108</v>
      </c>
      <c r="C351" s="46" t="s">
        <v>0</v>
      </c>
      <c r="D351" s="54" t="s">
        <v>179</v>
      </c>
      <c r="E351" s="67" t="str">
        <f>IF('National currencies'!E351="","",'National currencies'!E351)</f>
        <v>5.a) iii) + d)</v>
      </c>
      <c r="F351" s="66">
        <f>'National currencies'!F351</f>
        <v>110.48</v>
      </c>
      <c r="G351" s="65">
        <f>'National currencies'!G351</f>
        <v>110.48</v>
      </c>
      <c r="H351" s="66">
        <f>'National currencies'!H351</f>
        <v>110.48</v>
      </c>
      <c r="I351" s="48"/>
      <c r="J351" s="48"/>
      <c r="K351" s="61"/>
      <c r="L351" s="220"/>
      <c r="M351" s="62" t="str">
        <f>IF(ISBLANK(L351),"",IF((N2+O2)&gt;0,0,M2))</f>
        <v/>
      </c>
      <c r="N351" s="49"/>
      <c r="O351" s="63"/>
      <c r="P351" s="68" t="str">
        <f>IF(ISBLANK(L351),"",IF(M351=0,0,IF(L351=1,F351+(M351-1)*H351,(F351+(L351-1)*G351)+(H351+(L351-1)*G351)*(M351-1))))</f>
        <v/>
      </c>
      <c r="Q351" s="72"/>
      <c r="R351" s="73"/>
      <c r="S351" s="64" t="str">
        <f>IF(ISBLANK(L351),"",IF(M351=0,"",P351))</f>
        <v/>
      </c>
    </row>
    <row r="352" spans="1:19" x14ac:dyDescent="0.4">
      <c r="A352" s="45" t="s">
        <v>39</v>
      </c>
      <c r="B352" s="46" t="s">
        <v>108</v>
      </c>
      <c r="C352" s="46" t="s">
        <v>0</v>
      </c>
      <c r="D352" s="54" t="s">
        <v>231</v>
      </c>
      <c r="E352" s="67" t="str">
        <f>IF('National currencies'!E353="","",'National currencies'!E353)</f>
        <v>5.a) i) + d)</v>
      </c>
      <c r="F352" s="66">
        <f>'National currencies'!F352</f>
        <v>383.63</v>
      </c>
      <c r="G352" s="65">
        <f>'National currencies'!G352</f>
        <v>0</v>
      </c>
      <c r="H352" s="66">
        <f>'National currencies'!H352</f>
        <v>383.63</v>
      </c>
      <c r="I352" s="48"/>
      <c r="J352" s="48"/>
      <c r="K352" s="61"/>
      <c r="L352" s="220"/>
      <c r="M352" s="62" t="str">
        <f>IF(ISBLANK(L352),"",IF((N2+O2)&gt;0,0,M2))</f>
        <v/>
      </c>
      <c r="N352" s="49"/>
      <c r="O352" s="63"/>
      <c r="P352" s="68" t="str">
        <f>IF(ISBLANK(L352),"",IF(M352=0,0,IF(L352=1,F352+(M352-1)*H352,(F352+(L352-1)*G352)+(H352+(L352-1)*G352)*(M352-1))))</f>
        <v/>
      </c>
      <c r="Q352" s="72"/>
      <c r="R352" s="73"/>
      <c r="S352" s="64" t="str">
        <f>IF(ISBLANK(L352),"",IF(M352=0,"",P352))</f>
        <v/>
      </c>
    </row>
    <row r="353" spans="1:19" x14ac:dyDescent="0.4">
      <c r="A353" s="45" t="s">
        <v>39</v>
      </c>
      <c r="B353" s="46" t="s">
        <v>109</v>
      </c>
      <c r="C353" s="46" t="s">
        <v>0</v>
      </c>
      <c r="D353" s="47"/>
      <c r="E353" s="67" t="str">
        <f>IF('National currencies'!E353="","",'National currencies'!E353)</f>
        <v>5.a) i) + d)</v>
      </c>
      <c r="F353" s="66">
        <f>'National currencies'!F353</f>
        <v>478.76</v>
      </c>
      <c r="G353" s="65">
        <f>'National currencies'!G353</f>
        <v>162.66</v>
      </c>
      <c r="H353" s="66">
        <f>'National currencies'!H353</f>
        <v>478.76</v>
      </c>
      <c r="I353" s="48">
        <f>'National currencies'!I353</f>
        <v>478.76</v>
      </c>
      <c r="J353" s="48"/>
      <c r="K353" s="61"/>
      <c r="L353" s="220"/>
      <c r="M353" s="62" t="str">
        <f>IF(ISBLANK(L353),"",IF(O2&gt;0,0,IF(N2=0,0,M2)))</f>
        <v/>
      </c>
      <c r="N353" s="49" t="str">
        <f>IF(ISBLANK(L353),"",IF(O2&gt;0,0,N2))</f>
        <v/>
      </c>
      <c r="O353" s="63"/>
      <c r="P353" s="68" t="str">
        <f>IF(ISBLANK(L353),"",IF(M353=0,0,IF(L353=1,H353+(M353-1)*H353,(H353+(L353-1)*G351)+(H353+(L353-1)*G351)*(M353-1))))</f>
        <v/>
      </c>
      <c r="Q353" s="72" t="str">
        <f>IF(ISBLANK(L353),"",IF(N353=0,0,IF(L353=1,F353+(N353-1)*I353,(F353+(L353-1)*G353)+(I353+(L353-1)*G353)*(N353-1))))</f>
        <v/>
      </c>
      <c r="R353" s="73"/>
      <c r="S353" s="64" t="str">
        <f>IF(ISBLANK(L353),"",IF(N353=0,"",P353+Q353))</f>
        <v/>
      </c>
    </row>
    <row r="354" spans="1:19" x14ac:dyDescent="0.4">
      <c r="A354" s="45" t="s">
        <v>39</v>
      </c>
      <c r="B354" s="46" t="s">
        <v>110</v>
      </c>
      <c r="C354" s="46" t="s">
        <v>0</v>
      </c>
      <c r="D354" s="47"/>
      <c r="E354" s="67" t="str">
        <f>IF('National currencies'!E354="","",'National currencies'!E354)</f>
        <v>5.b) i) + d)</v>
      </c>
      <c r="F354" s="66">
        <f>'National currencies'!F354</f>
        <v>951.39</v>
      </c>
      <c r="G354" s="65">
        <f>'National currencies'!G354</f>
        <v>306.89999999999998</v>
      </c>
      <c r="H354" s="66">
        <f>'National currencies'!H354</f>
        <v>478.76</v>
      </c>
      <c r="I354" s="48">
        <f>'National currencies'!I354</f>
        <v>478.76</v>
      </c>
      <c r="J354" s="48">
        <f>'National currencies'!J354</f>
        <v>951.39</v>
      </c>
      <c r="K354" s="61"/>
      <c r="L354" s="220"/>
      <c r="M354" s="62" t="str">
        <f>IF(ISBLANK(L354),"",IF(O2=0,0,M2))</f>
        <v/>
      </c>
      <c r="N354" s="49" t="str">
        <f>IF(ISBLANK(L354),"",IF(O2=0,0,N2))</f>
        <v/>
      </c>
      <c r="O354" s="63" t="str">
        <f>IF(ISBLANK(L354),"",O2)</f>
        <v/>
      </c>
      <c r="P354" s="68" t="str">
        <f>IF(ISBLANK(L354),"",IF(M354=0,0,IF(L354=1,H354+(M354-1)*H354,(H354+(L354-1)*G351)+(H354+(L354-1)*G351)*(M354-1))))</f>
        <v/>
      </c>
      <c r="Q354" s="72" t="str">
        <f>IF(ISBLANK(L354),"",IF(N354=0,0,IF(L354=1,I354+(N354-1)*I354,(I354+(L354-1)*G353)+(I354+(L354-1)*G353)*(N354-1))))</f>
        <v/>
      </c>
      <c r="R354" s="73" t="str">
        <f>IF(ISBLANK(L354),"",IF(O354=0,0,IF(L354=1,F354+(O354-1)*J354,(F354+(L354-1)*G354)+(J354+(L354-1)*G354)*(O354-1))))</f>
        <v/>
      </c>
      <c r="S354" s="64" t="str">
        <f>IF(ISBLANK(L354),"",IF(O354=0,"",P354+Q354+R354))</f>
        <v/>
      </c>
    </row>
    <row r="355" spans="1:19" x14ac:dyDescent="0.4">
      <c r="A355" s="45" t="s">
        <v>40</v>
      </c>
      <c r="B355" s="46" t="s">
        <v>108</v>
      </c>
      <c r="C355" s="46" t="s">
        <v>1</v>
      </c>
      <c r="D355" s="47"/>
      <c r="E355" s="67" t="str">
        <f>IF('National currencies'!E355="","",'National currencies'!E355)</f>
        <v>D.41 / D.47</v>
      </c>
      <c r="F355" s="66">
        <f>'National currencies'!F355</f>
        <v>460</v>
      </c>
      <c r="G355" s="65">
        <f>'National currencies'!G355</f>
        <v>460</v>
      </c>
      <c r="H355" s="66">
        <v>375</v>
      </c>
      <c r="I355" s="48"/>
      <c r="J355" s="48"/>
      <c r="K355" s="61"/>
      <c r="L355" s="220"/>
      <c r="M355" s="62" t="str">
        <f>IF(ISBLANK(L355),"",IF((N2+O2)&gt;0,0,M2))</f>
        <v/>
      </c>
      <c r="N355" s="49"/>
      <c r="O355" s="63"/>
      <c r="P355" s="69" t="str">
        <f>IF(ISBLANK(L355),"",IF(M355=0,0,IF(L355=1,F355+(M355-1)*H355,(F355+(L355-1)*G355)+(H355+(L355-1)*H355)*(M355-1))))</f>
        <v/>
      </c>
      <c r="Q355" s="70"/>
      <c r="R355" s="71"/>
      <c r="S355" s="64" t="str">
        <f>IF(ISBLANK(L355),"",IF(M355=0,"",P355))</f>
        <v/>
      </c>
    </row>
    <row r="356" spans="1:19" x14ac:dyDescent="0.4">
      <c r="A356" s="45" t="s">
        <v>40</v>
      </c>
      <c r="B356" s="46" t="s">
        <v>109</v>
      </c>
      <c r="C356" s="46" t="s">
        <v>1</v>
      </c>
      <c r="D356" s="47"/>
      <c r="E356" s="67" t="str">
        <f>IF('National currencies'!E356="","",'National currencies'!E356)</f>
        <v>D.42 / D.47.a)</v>
      </c>
      <c r="F356" s="66">
        <f>'National currencies'!F356</f>
        <v>760</v>
      </c>
      <c r="G356" s="65">
        <f>'National currencies'!G356</f>
        <v>760</v>
      </c>
      <c r="H356" s="66">
        <v>375</v>
      </c>
      <c r="I356" s="48">
        <v>750</v>
      </c>
      <c r="J356" s="48"/>
      <c r="K356" s="61"/>
      <c r="L356" s="220"/>
      <c r="M356" s="62" t="str">
        <f>IF(ISBLANK(L356),"",IF(O2&gt;0,0,IF(N2=0,0,M2)))</f>
        <v/>
      </c>
      <c r="N356" s="49" t="str">
        <f>IF(ISBLANK(L356),"",IF(O2&gt;0,0,N2))</f>
        <v/>
      </c>
      <c r="O356" s="63"/>
      <c r="P356" s="69" t="str">
        <f>IF(ISBLANK(L356),"",IF(M356=0,0,IF(L356=1,H356+(M356-1)*H356,(H356+(L356-1)*H356)+(H356+(L356-1)*H356)*(M356-1))))</f>
        <v/>
      </c>
      <c r="Q356" s="70" t="str">
        <f>IF(ISBLANK(L356),"",IF(N356=0,0,IF(L356=1,F356+(N356-1)*I356,(F356+(L356-1)*G356)+(I356+(L356-1)*I356)*(N356-1))))</f>
        <v/>
      </c>
      <c r="R356" s="71"/>
      <c r="S356" s="64" t="str">
        <f>IF(ISBLANK(L356),"",IF(N356=0,"",P356+Q356))</f>
        <v/>
      </c>
    </row>
    <row r="357" spans="1:19" x14ac:dyDescent="0.4">
      <c r="A357" s="45" t="s">
        <v>40</v>
      </c>
      <c r="B357" s="46" t="s">
        <v>110</v>
      </c>
      <c r="C357" s="46" t="s">
        <v>1</v>
      </c>
      <c r="D357" s="47"/>
      <c r="E357" s="67" t="str">
        <f>IF('National currencies'!E357="","",'National currencies'!E357)</f>
        <v>D.43 / D.47.b)</v>
      </c>
      <c r="F357" s="66">
        <f>'National currencies'!F357</f>
        <v>2400</v>
      </c>
      <c r="G357" s="65">
        <f>'National currencies'!G357</f>
        <v>2400</v>
      </c>
      <c r="H357" s="66">
        <v>375</v>
      </c>
      <c r="I357" s="48">
        <v>750</v>
      </c>
      <c r="J357" s="48">
        <v>2400</v>
      </c>
      <c r="K357" s="61"/>
      <c r="L357" s="220"/>
      <c r="M357" s="62" t="str">
        <f>IF(ISBLANK(L357),"",IF(O2=0,0,M2))</f>
        <v/>
      </c>
      <c r="N357" s="49" t="str">
        <f>IF(ISBLANK(L357),"",IF(O2=0,0,N2))</f>
        <v/>
      </c>
      <c r="O357" s="63" t="str">
        <f>IF(ISBLANK(L357),"",O2)</f>
        <v/>
      </c>
      <c r="P357" s="69" t="str">
        <f>IF(ISBLANK(L357),"",IF(M357=0,0,IF(L357=1,H357+(M357-1)*H357,(H357+(L357-1)*H357)+(H357+(L357-1)*H357)*(M357-1))))</f>
        <v/>
      </c>
      <c r="Q357" s="70" t="str">
        <f>IF(ISBLANK(L357),"",IF(N357=0,0,IF(L357=1,I357+(N357-1)*I357,(I357+(L357-1)*I357)+(I357+(L357-1)*I357)*(N357-1))))</f>
        <v/>
      </c>
      <c r="R357" s="71" t="str">
        <f>IF(ISBLANK(L357),"",IF(O357=0,0,IF(L357=1,F357+(O357-1)*J357,(F357+(L357-1)*G357)+(J357+(L357-1)*G357)*(O357-1))))</f>
        <v/>
      </c>
      <c r="S357" s="64" t="str">
        <f>IF(ISBLANK(L357),"",IF(O357=0,"",P357+Q357+R357))</f>
        <v/>
      </c>
    </row>
    <row r="358" spans="1:19" x14ac:dyDescent="0.4">
      <c r="A358" s="45" t="s">
        <v>40</v>
      </c>
      <c r="B358" s="46" t="s">
        <v>108</v>
      </c>
      <c r="C358" s="46" t="s">
        <v>2</v>
      </c>
      <c r="D358" s="47"/>
      <c r="E358" s="67" t="str">
        <f>IF('National currencies'!E358="","",'National currencies'!E358)</f>
        <v>D.44 / D.48</v>
      </c>
      <c r="F358" s="66">
        <f>'National currencies'!F358</f>
        <v>300</v>
      </c>
      <c r="G358" s="65">
        <f>'National currencies'!G358</f>
        <v>300</v>
      </c>
      <c r="H358" s="66">
        <v>165</v>
      </c>
      <c r="I358" s="48"/>
      <c r="J358" s="48"/>
      <c r="K358" s="61"/>
      <c r="L358" s="220"/>
      <c r="M358" s="62" t="str">
        <f>IF(ISBLANK(L358),"",IF((N2+O2)&gt;0,0,M2))</f>
        <v/>
      </c>
      <c r="N358" s="49"/>
      <c r="O358" s="63"/>
      <c r="P358" s="69" t="str">
        <f>IF(ISBLANK(L358),"",IF(M358=0,0,IF(L358=1,F358+(M358-1)*H358,(F358+(L358-1)*G358)+(H358+(L358-1)*H358)*(M358-1))))</f>
        <v/>
      </c>
      <c r="Q358" s="70"/>
      <c r="R358" s="71"/>
      <c r="S358" s="64" t="str">
        <f>IF(ISBLANK(L358),"",IF(M358=0,"",P358))</f>
        <v/>
      </c>
    </row>
    <row r="359" spans="1:19" x14ac:dyDescent="0.4">
      <c r="A359" s="45" t="s">
        <v>40</v>
      </c>
      <c r="B359" s="46" t="s">
        <v>109</v>
      </c>
      <c r="C359" s="46" t="s">
        <v>2</v>
      </c>
      <c r="D359" s="47"/>
      <c r="E359" s="67" t="str">
        <f>IF('National currencies'!E359="","",'National currencies'!E359)</f>
        <v>D.45 / D.48.a)</v>
      </c>
      <c r="F359" s="66">
        <f>'National currencies'!F359</f>
        <v>500</v>
      </c>
      <c r="G359" s="65">
        <f>'National currencies'!G359</f>
        <v>500</v>
      </c>
      <c r="H359" s="66">
        <v>165</v>
      </c>
      <c r="I359" s="48">
        <v>225</v>
      </c>
      <c r="J359" s="48"/>
      <c r="K359" s="61"/>
      <c r="L359" s="220"/>
      <c r="M359" s="62" t="str">
        <f>IF(ISBLANK(L359),"",IF(O2&gt;0,0,IF(N2=0,0,M2)))</f>
        <v/>
      </c>
      <c r="N359" s="49" t="str">
        <f>IF(ISBLANK(L359),"",IF(O2&gt;0,0,N2))</f>
        <v/>
      </c>
      <c r="O359" s="63"/>
      <c r="P359" s="69" t="str">
        <f>IF(ISBLANK(L359),"",IF(M359=0,0,IF(L359=1,H359+(M359-1)*H359,(H359+(L359-1)*H359)+(H359+(L359-1)*H359)*(M359-1))))</f>
        <v/>
      </c>
      <c r="Q359" s="70" t="str">
        <f>IF(ISBLANK(L359),"",IF(N359=0,0,IF(L359=1,F359+(N359-1)*I359,(F359+(L359-1)*G359)+(I359+(L359-1)*I359)*(N359-1))))</f>
        <v/>
      </c>
      <c r="R359" s="71"/>
      <c r="S359" s="64" t="str">
        <f>IF(ISBLANK(L359),"",IF(N359=0,"",P359+Q359))</f>
        <v/>
      </c>
    </row>
    <row r="360" spans="1:19" x14ac:dyDescent="0.4">
      <c r="A360" s="45" t="s">
        <v>40</v>
      </c>
      <c r="B360" s="46" t="s">
        <v>110</v>
      </c>
      <c r="C360" s="46" t="s">
        <v>2</v>
      </c>
      <c r="D360" s="47"/>
      <c r="E360" s="67" t="str">
        <f>IF('National currencies'!E360="","",'National currencies'!E360)</f>
        <v>D.46 / D.48.b)</v>
      </c>
      <c r="F360" s="66">
        <f>'National currencies'!F360</f>
        <v>1600</v>
      </c>
      <c r="G360" s="65">
        <f>'National currencies'!G360</f>
        <v>1600</v>
      </c>
      <c r="H360" s="66">
        <v>165</v>
      </c>
      <c r="I360" s="48">
        <v>225</v>
      </c>
      <c r="J360" s="48">
        <v>825</v>
      </c>
      <c r="K360" s="61"/>
      <c r="L360" s="220"/>
      <c r="M360" s="62" t="str">
        <f>IF(ISBLANK(L360),"",IF(O2=0,0,M2))</f>
        <v/>
      </c>
      <c r="N360" s="49" t="str">
        <f>IF(ISBLANK(L360),"",IF(O2=0,0,N2))</f>
        <v/>
      </c>
      <c r="O360" s="63" t="str">
        <f>IF(ISBLANK(L360),"",O2)</f>
        <v/>
      </c>
      <c r="P360" s="69" t="str">
        <f>IF(ISBLANK(L360),"",IF(M360=0,0,IF(L360=1,H360+(M360-1)*H360,(H360+(L360-1)*H360)+(H360+(L360-1)*H360)*(M360-1))))</f>
        <v/>
      </c>
      <c r="Q360" s="70" t="str">
        <f>IF(ISBLANK(L360),"",IF(N360=0,0,IF(L360=1,I360+(N360-1)*I360,(I360+(L360-1)*I360)+(I360+(L360-1)*I360)*(N360-1))))</f>
        <v/>
      </c>
      <c r="R360" s="71" t="str">
        <f>IF(ISBLANK(L360),"",IF(O360=0,0,IF(L360=1,F360+(O360-1)*J360,(F360+(L360-1)*G360)+(J360+(L360-1)*J360)*(O360-1))))</f>
        <v/>
      </c>
      <c r="S360" s="64" t="str">
        <f>IF(ISBLANK(L360),"",IF(O360=0,"",P360+Q360+R360))</f>
        <v/>
      </c>
    </row>
    <row r="361" spans="1:19" x14ac:dyDescent="0.4">
      <c r="A361" s="45" t="s">
        <v>40</v>
      </c>
      <c r="B361" s="46" t="s">
        <v>108</v>
      </c>
      <c r="C361" s="46" t="s">
        <v>0</v>
      </c>
      <c r="D361" s="47"/>
      <c r="E361" s="67" t="str">
        <f>IF('National currencies'!E361="","",'National currencies'!E361)</f>
        <v>D.35 / D.38</v>
      </c>
      <c r="F361" s="66">
        <f>'National currencies'!F361</f>
        <v>300</v>
      </c>
      <c r="G361" s="65">
        <f>'National currencies'!G361</f>
        <v>300</v>
      </c>
      <c r="H361" s="66">
        <v>200</v>
      </c>
      <c r="I361" s="48"/>
      <c r="J361" s="48"/>
      <c r="K361" s="61"/>
      <c r="L361" s="220"/>
      <c r="M361" s="62" t="str">
        <f>IF(ISBLANK(L361),"",IF((N2+O2)&gt;0,0,M2))</f>
        <v/>
      </c>
      <c r="N361" s="49"/>
      <c r="O361" s="63"/>
      <c r="P361" s="69" t="str">
        <f>IF(ISBLANK(L361),"",IF(M361=0,0,IF(L361=1,F361+(M361-1)*H361,(F361+(L361-1)*G361)+(H361+(L361-1)*H361)*(M361-1))))</f>
        <v/>
      </c>
      <c r="Q361" s="70"/>
      <c r="R361" s="71"/>
      <c r="S361" s="64" t="str">
        <f>IF(ISBLANK(L361),"",IF(M361=0,"",P361))</f>
        <v/>
      </c>
    </row>
    <row r="362" spans="1:19" x14ac:dyDescent="0.4">
      <c r="A362" s="45" t="s">
        <v>40</v>
      </c>
      <c r="B362" s="46" t="s">
        <v>109</v>
      </c>
      <c r="C362" s="46" t="s">
        <v>0</v>
      </c>
      <c r="D362" s="47"/>
      <c r="E362" s="67" t="str">
        <f>IF('National currencies'!E362="","",'National currencies'!E362)</f>
        <v>D.36 / D.39</v>
      </c>
      <c r="F362" s="66">
        <f>'National currencies'!F362</f>
        <v>500</v>
      </c>
      <c r="G362" s="65">
        <f>'National currencies'!G362</f>
        <v>500</v>
      </c>
      <c r="H362" s="66">
        <v>200</v>
      </c>
      <c r="I362" s="48">
        <v>340</v>
      </c>
      <c r="J362" s="48"/>
      <c r="K362" s="61"/>
      <c r="L362" s="220"/>
      <c r="M362" s="62" t="str">
        <f>IF(ISBLANK(L362),"",IF(O2&gt;0,0,IF(N2=0,0,M2)))</f>
        <v/>
      </c>
      <c r="N362" s="49" t="str">
        <f>IF(ISBLANK(L362),"",IF(O2&gt;0,0,N2))</f>
        <v/>
      </c>
      <c r="O362" s="63"/>
      <c r="P362" s="69" t="str">
        <f>IF(ISBLANK(L362),"",IF(M362=0,0,IF(L362=1,H362+(M362-1)*H362,(H362+(L362-1)*H362)+(H362+(L362-1)*H362)*(M362-1))))</f>
        <v/>
      </c>
      <c r="Q362" s="70" t="str">
        <f>IF(ISBLANK(L362),"",IF(N362=0,0,IF(L362=1,F362+(N362-1)*I362,(F362+(L362-1)*G362)+(I362+(L362-1)*I362)*(N362-1))))</f>
        <v/>
      </c>
      <c r="R362" s="71"/>
      <c r="S362" s="64" t="str">
        <f>IF(ISBLANK(L362),"",IF(N362=0,"",P362+Q362))</f>
        <v/>
      </c>
    </row>
    <row r="363" spans="1:19" x14ac:dyDescent="0.4">
      <c r="A363" s="45" t="s">
        <v>40</v>
      </c>
      <c r="B363" s="46" t="s">
        <v>110</v>
      </c>
      <c r="C363" s="46" t="s">
        <v>0</v>
      </c>
      <c r="D363" s="47"/>
      <c r="E363" s="67" t="str">
        <f>IF('National currencies'!E363="","",'National currencies'!E363)</f>
        <v>D.37 / D.40</v>
      </c>
      <c r="F363" s="66">
        <f>'National currencies'!F363</f>
        <v>1600</v>
      </c>
      <c r="G363" s="65">
        <f>'National currencies'!G363</f>
        <v>1600</v>
      </c>
      <c r="H363" s="66">
        <v>200</v>
      </c>
      <c r="I363" s="48">
        <v>340</v>
      </c>
      <c r="J363" s="48">
        <v>1070</v>
      </c>
      <c r="K363" s="61"/>
      <c r="L363" s="220"/>
      <c r="M363" s="62" t="str">
        <f>IF(ISBLANK(L363),"",IF(O2=0,0,M2))</f>
        <v/>
      </c>
      <c r="N363" s="49" t="str">
        <f>IF(ISBLANK(L363),"",IF(O2=0,0,N2))</f>
        <v/>
      </c>
      <c r="O363" s="63" t="str">
        <f>IF(ISBLANK(L363),"",O2)</f>
        <v/>
      </c>
      <c r="P363" s="69" t="str">
        <f>IF(ISBLANK(L363),"",IF(M363=0,0,IF(L363=1,H363+(M363-1)*H363,(H363+(L363-1)*H363)+(H363+(L363-1)*H363)*(M363-1))))</f>
        <v/>
      </c>
      <c r="Q363" s="70" t="str">
        <f>IF(ISBLANK(L363),"",IF(N363=0,0,IF(L363=1,I363+(N363-1)*I363,(I363+(L363-1)*I363)+(I363+(L363-1)*I363)*(N363-1))))</f>
        <v/>
      </c>
      <c r="R363" s="71" t="str">
        <f>IF(ISBLANK(L363),"",IF(O363=0,0,IF(L363=1,F363+(O363-1)*J363,(F363+(L363-1)*G363)+(J363+(L363-1)*J363)*(O363-1))))</f>
        <v/>
      </c>
      <c r="S363" s="64" t="str">
        <f>IF(ISBLANK(L363),"",IF(O363=0,"",P363+Q363+R363))</f>
        <v/>
      </c>
    </row>
    <row r="364" spans="1:19" x14ac:dyDescent="0.4">
      <c r="A364" s="45" t="s">
        <v>43</v>
      </c>
      <c r="B364" s="46" t="s">
        <v>108</v>
      </c>
      <c r="C364" s="46" t="s">
        <v>1</v>
      </c>
      <c r="D364" s="47"/>
      <c r="E364" s="67" t="str">
        <f>IF('National currencies'!E364="","",'National currencies'!E364)</f>
        <v/>
      </c>
      <c r="F364" s="66">
        <f>'National currencies'!F364/'Exchange rates'!B8</f>
        <v>0</v>
      </c>
      <c r="G364" s="65">
        <v>0</v>
      </c>
      <c r="H364" s="66">
        <f>'National currencies'!H364/'Exchange rates'!B8</f>
        <v>0</v>
      </c>
      <c r="I364" s="48"/>
      <c r="J364" s="48"/>
      <c r="K364" s="61"/>
      <c r="L364" s="220"/>
      <c r="M364" s="62" t="str">
        <f>IF(ISBLANK(L364),"",IF((N2+O2)&gt;0,0,M2))</f>
        <v/>
      </c>
      <c r="N364" s="49"/>
      <c r="O364" s="63"/>
      <c r="P364" s="69" t="str">
        <f>IF(ISBLANK(L364),"",IF(M364=0,0,IF(L364=1,F364+(M364-1)*H364,(F364+(L364-1)*G364)+(H364+(L364-1)*G364)*(M364-1))))</f>
        <v/>
      </c>
      <c r="Q364" s="70"/>
      <c r="R364" s="71"/>
      <c r="S364" s="64" t="str">
        <f>IF(ISBLANK(L364),"",IF(M364=0,"",P364))</f>
        <v/>
      </c>
    </row>
    <row r="365" spans="1:19" x14ac:dyDescent="0.4">
      <c r="A365" s="45" t="s">
        <v>43</v>
      </c>
      <c r="B365" s="46" t="s">
        <v>109</v>
      </c>
      <c r="C365" s="46" t="s">
        <v>1</v>
      </c>
      <c r="D365" s="47"/>
      <c r="E365" s="67" t="str">
        <f>IF('National currencies'!E365="","",'National currencies'!E365)</f>
        <v/>
      </c>
      <c r="F365" s="66">
        <f>'National currencies'!F365/'Exchange rates'!B8</f>
        <v>0</v>
      </c>
      <c r="G365" s="65">
        <v>0</v>
      </c>
      <c r="H365" s="66">
        <f>'National currencies'!H365/'Exchange rates'!B8</f>
        <v>0</v>
      </c>
      <c r="I365" s="48">
        <f>'National currencies'!I365/'Exchange rates'!B8</f>
        <v>0</v>
      </c>
      <c r="J365" s="48"/>
      <c r="K365" s="61"/>
      <c r="L365" s="220"/>
      <c r="M365" s="62" t="str">
        <f>IF(ISBLANK(L365),"",IF(O2&gt;0,0,IF(N2=0,0,M2)))</f>
        <v/>
      </c>
      <c r="N365" s="49" t="str">
        <f>IF(ISBLANK(L365),"",IF(O2&gt;0,0,N2))</f>
        <v/>
      </c>
      <c r="O365" s="63"/>
      <c r="P365" s="69" t="str">
        <f>IF(ISBLANK(L365),"",IF(M365=0,0,IF(L365=1,H365+(M365-1)*H365,(H365+(L365-1)*G364)+(H365+(L365-1)*G364)*(M365-1))))</f>
        <v/>
      </c>
      <c r="Q365" s="70" t="str">
        <f>IF(ISBLANK(L365),"",IF(N365=0,0,IF(L365=1,F365+(N365-1)*I365,(F365+(L365-1)*G365)+(I365+(L365-1)*G365)*(N365-1))))</f>
        <v/>
      </c>
      <c r="R365" s="71"/>
      <c r="S365" s="64" t="str">
        <f>IF(ISBLANK(L365),"",IF(N365=0,"",P365+Q365))</f>
        <v/>
      </c>
    </row>
    <row r="366" spans="1:19" x14ac:dyDescent="0.4">
      <c r="A366" s="45" t="s">
        <v>43</v>
      </c>
      <c r="B366" s="46" t="s">
        <v>110</v>
      </c>
      <c r="C366" s="46" t="s">
        <v>1</v>
      </c>
      <c r="D366" s="47"/>
      <c r="E366" s="67" t="str">
        <f>IF('National currencies'!E366="","",'National currencies'!E366)</f>
        <v/>
      </c>
      <c r="F366" s="66">
        <f>'National currencies'!F366/'Exchange rates'!B8</f>
        <v>5178.1032137191487</v>
      </c>
      <c r="G366" s="65">
        <v>0</v>
      </c>
      <c r="H366" s="66">
        <f>'National currencies'!H366/'Exchange rates'!B8</f>
        <v>0</v>
      </c>
      <c r="I366" s="48">
        <f>'National currencies'!I366/'Exchange rates'!B8</f>
        <v>0</v>
      </c>
      <c r="J366" s="48">
        <f>'National currencies'!J366/'Exchange rates'!B8</f>
        <v>5178.1032137191487</v>
      </c>
      <c r="K366" s="61"/>
      <c r="L366" s="220"/>
      <c r="M366" s="62" t="str">
        <f>IF(ISBLANK(L366),"",IF(O2=0,0,M2))</f>
        <v/>
      </c>
      <c r="N366" s="49" t="str">
        <f>IF(ISBLANK(L366),"",IF(O2=0,0,N2))</f>
        <v/>
      </c>
      <c r="O366" s="63" t="str">
        <f>IF(ISBLANK(L366),"",O2)</f>
        <v/>
      </c>
      <c r="P366" s="69" t="str">
        <f>IF(ISBLANK(L366),"",IF(M366=0,0,IF(L366=1,H366+(M366-1)*H366,(H366+(L366-1)*G364)+(H366+(L366-1)*G364)*(M366-1))))</f>
        <v/>
      </c>
      <c r="Q366" s="70" t="str">
        <f>IF(ISBLANK(L366),"",IF(N366=0,0,IF(L366=1,I366+(N366-1)*I366,(I366+(L366-1)*G365)+(I366+(L366-1)*G365)*(N366-1))))</f>
        <v/>
      </c>
      <c r="R366" s="71" t="str">
        <f>IF(ISBLANK(L366),"",IF(O366=0,0,IF(L366=1,F366+(O366-1)*J366,(F366+(L366-1)*G366)+(J366+(L366-1)*G366)*(O366-1))))</f>
        <v/>
      </c>
      <c r="S366" s="64" t="str">
        <f>IF(ISBLANK(L366),"",IF(O366=0,"",P366+Q366+R366))</f>
        <v/>
      </c>
    </row>
    <row r="367" spans="1:19" x14ac:dyDescent="0.4">
      <c r="A367" s="45" t="s">
        <v>43</v>
      </c>
      <c r="B367" s="46" t="s">
        <v>110</v>
      </c>
      <c r="C367" s="46" t="s">
        <v>1</v>
      </c>
      <c r="D367" s="98" t="str">
        <f>Tabelle4[[#This Row],[Special cases / Comments]]</f>
        <v>Indication</v>
      </c>
      <c r="E367" s="223"/>
      <c r="F367" s="66">
        <f>'National currencies'!F367/'Exchange rates'!B8</f>
        <v>13651.363017986847</v>
      </c>
      <c r="G367" s="65">
        <v>0</v>
      </c>
      <c r="H367" s="66">
        <f>'National currencies'!H367/'Exchange rates'!B9</f>
        <v>0</v>
      </c>
      <c r="I367" s="48">
        <f>'National currencies'!I367/'Exchange rates'!B9</f>
        <v>0</v>
      </c>
      <c r="J367" s="48">
        <f>'National currencies'!J367/'Exchange rates'!B8</f>
        <v>13651.363017986847</v>
      </c>
      <c r="K367" s="122"/>
      <c r="L367" s="220"/>
      <c r="M367" s="62" t="str">
        <f>IF(ISBLANK(L367),"",IF(O2=0,0,M2))</f>
        <v/>
      </c>
      <c r="N367" s="49" t="str">
        <f>IF(ISBLANK(L367),"",IF(O2=0,0,N2))</f>
        <v/>
      </c>
      <c r="O367" s="63" t="str">
        <f>IF(ISBLANK(L367),"",O2)</f>
        <v/>
      </c>
      <c r="P367" s="69" t="str">
        <f>IF(ISBLANK(L367),"",IF(M367=0,0,IF(L367=1,H367+(M367-1)*H367,(H367+(L367-1)*G365)+(H367+(L367-1)*G365)*(M367-1))))</f>
        <v/>
      </c>
      <c r="Q367" s="70" t="str">
        <f>IF(ISBLANK(L367),"",IF(N367=0,0,IF(L367=1,I367+(N367-1)*I367,(I367+(L367-1)*G366)+(I367+(L367-1)*G366)*(N367-1))))</f>
        <v/>
      </c>
      <c r="R367" s="71" t="str">
        <f>IF(ISBLANK(L367),"",IF(O367=0,0,IF(L367=1,F367+(O367-1)*J367,(F367+(L367-1)*G367)+(J367+(L367-1)*G367)*(O367-1))))</f>
        <v/>
      </c>
      <c r="S367" s="64" t="str">
        <f>IF(ISBLANK(L367),"",IF(O367=0,"",P367+Q367+R367))</f>
        <v/>
      </c>
    </row>
    <row r="368" spans="1:19" x14ac:dyDescent="0.4">
      <c r="A368" s="45" t="s">
        <v>43</v>
      </c>
      <c r="B368" s="46" t="s">
        <v>108</v>
      </c>
      <c r="C368" s="46" t="s">
        <v>2</v>
      </c>
      <c r="D368" s="47"/>
      <c r="E368" s="67" t="str">
        <f>IF('National currencies'!E368="","",'National currencies'!E368)</f>
        <v/>
      </c>
      <c r="F368" s="66">
        <f>'National currencies'!F368/'Exchange rates'!B8</f>
        <v>0</v>
      </c>
      <c r="G368" s="65">
        <v>0</v>
      </c>
      <c r="H368" s="66">
        <f>'National currencies'!H368/'Exchange rates'!B8</f>
        <v>0</v>
      </c>
      <c r="I368" s="48"/>
      <c r="J368" s="48"/>
      <c r="K368" s="61"/>
      <c r="L368" s="220"/>
      <c r="M368" s="62" t="str">
        <f>IF(ISBLANK(L368),"",IF((N2+O2)&gt;0,0,M2))</f>
        <v/>
      </c>
      <c r="N368" s="49"/>
      <c r="O368" s="63"/>
      <c r="P368" s="69" t="str">
        <f>IF(ISBLANK(L368),"",IF(M368=0,0,IF(L368=1,F368+(M368-1)*H368,(F368+(L368-1)*G368)+(H368+(L368-1)*G368)*(M368-1))))</f>
        <v/>
      </c>
      <c r="Q368" s="70"/>
      <c r="R368" s="71"/>
      <c r="S368" s="64" t="str">
        <f>IF(ISBLANK(L368),"",IF(M368=0,"",P368))</f>
        <v/>
      </c>
    </row>
    <row r="369" spans="1:19" x14ac:dyDescent="0.4">
      <c r="A369" s="45" t="s">
        <v>43</v>
      </c>
      <c r="B369" s="46" t="s">
        <v>109</v>
      </c>
      <c r="C369" s="46" t="s">
        <v>2</v>
      </c>
      <c r="D369" s="47"/>
      <c r="E369" s="67" t="str">
        <f>IF('National currencies'!E369="","",'National currencies'!E369)</f>
        <v/>
      </c>
      <c r="F369" s="66">
        <f>'National currencies'!F369/'Exchange rates'!B8</f>
        <v>0</v>
      </c>
      <c r="G369" s="65">
        <v>0</v>
      </c>
      <c r="H369" s="66">
        <f>'National currencies'!H369/'Exchange rates'!B8</f>
        <v>0</v>
      </c>
      <c r="I369" s="48">
        <f>'National currencies'!I369/'Exchange rates'!B8</f>
        <v>0</v>
      </c>
      <c r="J369" s="48"/>
      <c r="K369" s="61"/>
      <c r="L369" s="220"/>
      <c r="M369" s="62" t="str">
        <f>IF(ISBLANK(L369),"",IF(O2&gt;0,0,IF(N2=0,0,M2)))</f>
        <v/>
      </c>
      <c r="N369" s="49" t="str">
        <f>IF(ISBLANK(L369),"",IF(O2&gt;0,0,N2))</f>
        <v/>
      </c>
      <c r="O369" s="63"/>
      <c r="P369" s="69" t="str">
        <f>IF(ISBLANK(L369),"",IF(M369=0,0,IF(L369=1,H369+(M369-1)*H369,(H369+(L369-1)*G368)+(H369+(L369-1)*G368)*(M369-1))))</f>
        <v/>
      </c>
      <c r="Q369" s="70" t="str">
        <f>IF(ISBLANK(L369),"",IF(N369=0,0,IF(L369=1,F369+(N369-1)*I369,(F369+(L369-1)*G369)+(I369+(L369-1)*G369)*(N369-1))))</f>
        <v/>
      </c>
      <c r="R369" s="71"/>
      <c r="S369" s="64" t="str">
        <f>IF(ISBLANK(L369),"",IF(N369=0,"",P369+Q369))</f>
        <v/>
      </c>
    </row>
    <row r="370" spans="1:19" x14ac:dyDescent="0.4">
      <c r="A370" s="45" t="s">
        <v>43</v>
      </c>
      <c r="B370" s="46" t="s">
        <v>110</v>
      </c>
      <c r="C370" s="46" t="s">
        <v>2</v>
      </c>
      <c r="D370" s="47"/>
      <c r="E370" s="67" t="str">
        <f>IF('National currencies'!E370="","",'National currencies'!E370)</f>
        <v/>
      </c>
      <c r="F370" s="66">
        <f>'National currencies'!F370/'Exchange rates'!B8</f>
        <v>753.17864926823984</v>
      </c>
      <c r="G370" s="65">
        <v>0</v>
      </c>
      <c r="H370" s="66">
        <f>'National currencies'!H370/'Exchange rates'!B8</f>
        <v>0</v>
      </c>
      <c r="I370" s="48">
        <f>'National currencies'!I370/'Exchange rates'!B8</f>
        <v>0</v>
      </c>
      <c r="J370" s="48">
        <f>'National currencies'!J370/'Exchange rates'!B8</f>
        <v>753.17864926823984</v>
      </c>
      <c r="K370" s="61"/>
      <c r="L370" s="220"/>
      <c r="M370" s="62" t="str">
        <f>IF(ISBLANK(L370),"",IF(O2=0,0,M2))</f>
        <v/>
      </c>
      <c r="N370" s="49" t="str">
        <f>IF(ISBLANK(L370),"",IF(O2=0,0,N2))</f>
        <v/>
      </c>
      <c r="O370" s="63" t="str">
        <f>IF(ISBLANK(L370),"",O2)</f>
        <v/>
      </c>
      <c r="P370" s="69" t="str">
        <f>IF(ISBLANK(L370),"",IF(M370=0,0,IF(L370=1,H370+(M370-1)*H370,(H370+(L370-1)*G368)+(H370+(L370-1)*G368)*(M370-1))))</f>
        <v/>
      </c>
      <c r="Q370" s="70" t="str">
        <f>IF(ISBLANK(L370),"",IF(N370=0,0,IF(L370=1,I370+(N370-1)*I370,(I370+(L370-1)*G369)+(I370+(L370-1)*G369)*(N370-1))))</f>
        <v/>
      </c>
      <c r="R370" s="71" t="str">
        <f>IF(ISBLANK(L370),"",IF(O370=0,0,IF(L370=1,F370+(O370-1)*J370,(F370+(L370-1)*G370)+(J370+(L370-1)*G370)*(O370-1))))</f>
        <v/>
      </c>
      <c r="S370" s="64" t="str">
        <f>IF(ISBLANK(L370),"",IF(O370=0,"",P370+Q370+R370))</f>
        <v/>
      </c>
    </row>
    <row r="371" spans="1:19" x14ac:dyDescent="0.4">
      <c r="A371" s="45" t="s">
        <v>43</v>
      </c>
      <c r="B371" s="46" t="s">
        <v>110</v>
      </c>
      <c r="C371" s="46" t="s">
        <v>2</v>
      </c>
      <c r="D371" s="98" t="str">
        <f>Tabelle4[[#This Row],[Special cases / Comments]]</f>
        <v>Indication</v>
      </c>
      <c r="E371" s="223"/>
      <c r="F371" s="66">
        <f>'National currencies'!F371/'Exchange rates'!B8</f>
        <v>3577.5985840241392</v>
      </c>
      <c r="G371" s="65">
        <v>0</v>
      </c>
      <c r="H371" s="66">
        <f>'National currencies'!H371/'Exchange rates'!B9</f>
        <v>0</v>
      </c>
      <c r="I371" s="48">
        <f>'National currencies'!I371/'Exchange rates'!B9</f>
        <v>0</v>
      </c>
      <c r="J371" s="48">
        <f>'National currencies'!J371/'Exchange rates'!B8</f>
        <v>3577.5985840241392</v>
      </c>
      <c r="K371" s="122"/>
      <c r="L371" s="220"/>
      <c r="M371" s="62" t="str">
        <f>IF(ISBLANK(L371),"",IF(O2=0,0,M2))</f>
        <v/>
      </c>
      <c r="N371" s="49" t="str">
        <f>IF(ISBLANK(L371),"",IF(O2=0,0,N2))</f>
        <v/>
      </c>
      <c r="O371" s="63" t="str">
        <f>IF(ISBLANK(L371),"",O2)</f>
        <v/>
      </c>
      <c r="P371" s="69" t="str">
        <f>IF(ISBLANK(L371),"",IF(M371=0,0,IF(L371=1,H371+(M371-1)*H371,(H371+(L371-1)*G369)+(H371+(L371-1)*G369)*(M371-1))))</f>
        <v/>
      </c>
      <c r="Q371" s="70" t="str">
        <f>IF(ISBLANK(L371),"",IF(N371=0,0,IF(L371=1,I371+(N371-1)*I371,(I371+(L371-1)*G370)+(I371+(L371-1)*G370)*(N371-1))))</f>
        <v/>
      </c>
      <c r="R371" s="71" t="str">
        <f>IF(ISBLANK(L371),"",IF(O371=0,0,IF(L371=1,F371+(O371-1)*J371,(F371+(L371-1)*G371)+(J371+(L371-1)*G371)*(O371-1))))</f>
        <v/>
      </c>
      <c r="S371" s="64" t="str">
        <f>IF(ISBLANK(L371),"",IF(O371=0,"",P371+Q371+R371))</f>
        <v/>
      </c>
    </row>
    <row r="372" spans="1:19" x14ac:dyDescent="0.4">
      <c r="A372" s="45" t="s">
        <v>43</v>
      </c>
      <c r="B372" s="46" t="s">
        <v>108</v>
      </c>
      <c r="C372" s="46" t="s">
        <v>0</v>
      </c>
      <c r="D372" s="47"/>
      <c r="E372" s="67" t="str">
        <f>IF('National currencies'!E372="","",'National currencies'!E372)</f>
        <v/>
      </c>
      <c r="F372" s="66">
        <f>'National currencies'!F372/'Exchange rates'!B8</f>
        <v>0</v>
      </c>
      <c r="G372" s="65">
        <v>0</v>
      </c>
      <c r="H372" s="66">
        <f>'National currencies'!H372/'Exchange rates'!B8</f>
        <v>0</v>
      </c>
      <c r="I372" s="48"/>
      <c r="J372" s="48"/>
      <c r="K372" s="61"/>
      <c r="L372" s="220"/>
      <c r="M372" s="62" t="str">
        <f>IF(ISBLANK(L372),"",IF((N2+O2)&gt;0,0,M2))</f>
        <v/>
      </c>
      <c r="N372" s="49"/>
      <c r="O372" s="63"/>
      <c r="P372" s="69" t="str">
        <f>IF(ISBLANK(L372),"",IF(M372=0,0,IF(L372=1,F372+(M372-1)*H372,(F372+(L372-1)*G372)+(H372+(L372-1)*G372)*(M372-1))))</f>
        <v/>
      </c>
      <c r="Q372" s="70"/>
      <c r="R372" s="71"/>
      <c r="S372" s="64" t="str">
        <f>IF(ISBLANK(L372),"",IF(M372=0,"",P372))</f>
        <v/>
      </c>
    </row>
    <row r="373" spans="1:19" x14ac:dyDescent="0.4">
      <c r="A373" s="45" t="s">
        <v>43</v>
      </c>
      <c r="B373" s="46" t="s">
        <v>109</v>
      </c>
      <c r="C373" s="46" t="s">
        <v>0</v>
      </c>
      <c r="D373" s="47"/>
      <c r="E373" s="67" t="str">
        <f>IF('National currencies'!E373="","",'National currencies'!E373)</f>
        <v/>
      </c>
      <c r="F373" s="66">
        <f>'National currencies'!F373/'Exchange rates'!B8</f>
        <v>0</v>
      </c>
      <c r="G373" s="65">
        <v>0</v>
      </c>
      <c r="H373" s="66">
        <f>'National currencies'!H373/'Exchange rates'!B8</f>
        <v>0</v>
      </c>
      <c r="I373" s="48">
        <f>'National currencies'!I373/'Exchange rates'!B8</f>
        <v>0</v>
      </c>
      <c r="J373" s="48"/>
      <c r="K373" s="61"/>
      <c r="L373" s="220"/>
      <c r="M373" s="62" t="str">
        <f>IF(ISBLANK(L373),"",IF(O2&gt;0,0,IF(N2=0,0,M2)))</f>
        <v/>
      </c>
      <c r="N373" s="49" t="str">
        <f>IF(ISBLANK(L373),"",IF(O2&gt;0,0,N2))</f>
        <v/>
      </c>
      <c r="O373" s="63"/>
      <c r="P373" s="69" t="str">
        <f>IF(ISBLANK(L373),"",IF(M373=0,0,IF(L373=1,H373+(M373-1)*H373,(H373+(L373-1)*G372)+(H373+(L373-1)*G372)*(M373-1))))</f>
        <v/>
      </c>
      <c r="Q373" s="70" t="str">
        <f>IF(ISBLANK(L373),"",IF(N373=0,0,IF(L373=1,F373+(N373-1)*I373,(F373+(L373-1)*G373)+(I373+(L373-1)*G373)*(N373-1))))</f>
        <v/>
      </c>
      <c r="R373" s="71"/>
      <c r="S373" s="64" t="str">
        <f>IF(ISBLANK(L373),"",IF(N373=0,"",P373+Q373))</f>
        <v/>
      </c>
    </row>
    <row r="374" spans="1:19" x14ac:dyDescent="0.4">
      <c r="A374" s="45" t="s">
        <v>43</v>
      </c>
      <c r="B374" s="46" t="s">
        <v>110</v>
      </c>
      <c r="C374" s="46" t="s">
        <v>0</v>
      </c>
      <c r="D374" s="47"/>
      <c r="E374" s="67" t="str">
        <f>IF('National currencies'!E374="","",'National currencies'!E374)</f>
        <v/>
      </c>
      <c r="F374" s="66">
        <f>'National currencies'!F374/'Exchange rates'!B8</f>
        <v>3671.7459151826693</v>
      </c>
      <c r="G374" s="65">
        <v>0</v>
      </c>
      <c r="H374" s="66">
        <f>'National currencies'!H374/'Exchange rates'!B8</f>
        <v>0</v>
      </c>
      <c r="I374" s="48">
        <f>'National currencies'!I374/'Exchange rates'!B8</f>
        <v>0</v>
      </c>
      <c r="J374" s="48">
        <f>'National currencies'!J374/'Exchange rates'!B8</f>
        <v>2824.4199347558992</v>
      </c>
      <c r="K374" s="61"/>
      <c r="L374" s="220"/>
      <c r="M374" s="62" t="str">
        <f>IF(ISBLANK(L374),"",IF(O2=0,0,M2))</f>
        <v/>
      </c>
      <c r="N374" s="49" t="str">
        <f>IF(ISBLANK(L374),"",IF(O2=0,0,N2))</f>
        <v/>
      </c>
      <c r="O374" s="63" t="str">
        <f>IF(ISBLANK(L374),"",O2)</f>
        <v/>
      </c>
      <c r="P374" s="69" t="str">
        <f>IF(ISBLANK(L374),"",IF(M374=0,0,IF(L374=1,H374+(M374-1)*H374,(H374+(L374-1)*G372)+(H374+(L374-1)*G372)*(M374-1))))</f>
        <v/>
      </c>
      <c r="Q374" s="70" t="str">
        <f>IF(ISBLANK(L374),"",IF(N374=0,0,IF(L374=1,I374+(N374-1)*I374,(I374+(L374-1)*G373)+(I374+(L374-1)*G373)*(N374-1))))</f>
        <v/>
      </c>
      <c r="R374" s="71" t="str">
        <f>IF(ISBLANK(L374),"",IF(O374=0,0,IF(L374=1,F374+(O374-1)*J374,(F374+(L374-1)*G374)+(J374+(L374-1)*G374)*(O374-1))))</f>
        <v/>
      </c>
      <c r="S374" s="64" t="str">
        <f>IF(ISBLANK(L374),"",IF(O374=0,"",P374+Q374+R374))</f>
        <v/>
      </c>
    </row>
    <row r="375" spans="1:19" x14ac:dyDescent="0.4">
      <c r="A375" s="45" t="s">
        <v>43</v>
      </c>
      <c r="B375" s="46" t="s">
        <v>110</v>
      </c>
      <c r="C375" s="46" t="s">
        <v>0</v>
      </c>
      <c r="D375" s="98" t="str">
        <f>Tabelle4[[#This Row],[Special cases / Comments]]</f>
        <v>Indication</v>
      </c>
      <c r="E375" s="67" t="str">
        <f>IF('National currencies'!E375="","",'National currencies'!E375)</f>
        <v/>
      </c>
      <c r="F375" s="66">
        <f>'National currencies'!F375/'Exchange rates'!B8</f>
        <v>12145.005719450368</v>
      </c>
      <c r="G375" s="65">
        <v>0</v>
      </c>
      <c r="H375" s="66">
        <f>'National currencies'!H375/'Exchange rates'!B9</f>
        <v>0</v>
      </c>
      <c r="I375" s="48">
        <f>'National currencies'!I375/'Exchange rates'!B9</f>
        <v>0</v>
      </c>
      <c r="J375" s="48">
        <f>'National currencies'!J375/'Exchange rates'!B8</f>
        <v>12145.005719450368</v>
      </c>
      <c r="K375" s="122"/>
      <c r="L375" s="220"/>
      <c r="M375" s="62" t="str">
        <f>IF(ISBLANK(L375),"",IF(O2=0,0,M2))</f>
        <v/>
      </c>
      <c r="N375" s="49" t="str">
        <f>IF(ISBLANK(L375),"",IF(O2=0,0,N2))</f>
        <v/>
      </c>
      <c r="O375" s="63" t="str">
        <f>IF(ISBLANK(L375),"",O2)</f>
        <v/>
      </c>
      <c r="P375" s="69" t="str">
        <f>IF(ISBLANK(L375),"",IF(M375=0,0,IF(L375=1,H375+(M375-1)*H375,(H375+(L375-1)*G373)+(H375+(L375-1)*G373)*(M375-1))))</f>
        <v/>
      </c>
      <c r="Q375" s="70" t="str">
        <f>IF(ISBLANK(L375),"",IF(N375=0,0,IF(L375=1,I375+(N375-1)*I375,(I375+(L375-1)*G374)+(I375+(L375-1)*G374)*(N375-1))))</f>
        <v/>
      </c>
      <c r="R375" s="71" t="str">
        <f>IF(ISBLANK(L375),"",IF(O375=0,0,IF(L375=1,F375+(O375-1)*J375,(F375+(L375-1)*G375)+(J375+(L375-1)*G375)*(O375-1))))</f>
        <v/>
      </c>
      <c r="S375" s="64" t="str">
        <f>IF(ISBLANK(L375),"",IF(O375=0,"",P375+Q375+R375))</f>
        <v/>
      </c>
    </row>
    <row r="376" spans="1:19" x14ac:dyDescent="0.4">
      <c r="A376" s="45" t="s">
        <v>42</v>
      </c>
      <c r="B376" s="46" t="s">
        <v>108</v>
      </c>
      <c r="C376" s="46" t="s">
        <v>1</v>
      </c>
      <c r="D376" s="53"/>
      <c r="E376" s="67" t="str">
        <f>IF('National currencies'!E376="","",'National currencies'!E376)</f>
        <v>Article 18 (1)</v>
      </c>
      <c r="F376" s="66">
        <f>'National currencies'!F376*'Exchange rates'!B9</f>
        <v>1798</v>
      </c>
      <c r="G376" s="65">
        <f>'National currencies'!G376</f>
        <v>0</v>
      </c>
      <c r="H376" s="66">
        <f>'National currencies'!H376*'Exchange rates'!B9</f>
        <v>1348.5</v>
      </c>
      <c r="I376" s="48"/>
      <c r="J376" s="48"/>
      <c r="K376" s="61"/>
      <c r="L376" s="220"/>
      <c r="M376" s="62" t="str">
        <f>IF(ISBLANK(L376),"",IF((N2+O2)&gt;0,0,M2))</f>
        <v/>
      </c>
      <c r="N376" s="49"/>
      <c r="O376" s="63"/>
      <c r="P376" s="68" t="str">
        <f>IF(ISBLANK(L376),"",IF(M376=0,0,IF(L376=1,F376+(M376-1)*H376,(F376+(L376-1)*G376)+(H376+(L376-1)*G376)*(M376-1))))</f>
        <v/>
      </c>
      <c r="Q376" s="72"/>
      <c r="R376" s="73"/>
      <c r="S376" s="64" t="str">
        <f>IF(ISBLANK(L376),"",IF(M376=0,"",IF(P376&gt;1500*'Exchange rates'!$B$9,1500*'Exchange rates'!$B$9,P376)))</f>
        <v/>
      </c>
    </row>
    <row r="377" spans="1:19" x14ac:dyDescent="0.4">
      <c r="A377" s="45" t="s">
        <v>42</v>
      </c>
      <c r="B377" s="46" t="s">
        <v>109</v>
      </c>
      <c r="C377" s="46" t="s">
        <v>1</v>
      </c>
      <c r="D377" s="53"/>
      <c r="E377" s="67" t="str">
        <f>IF('National currencies'!E377="","",'National currencies'!E377)</f>
        <v>Article 18 (2)</v>
      </c>
      <c r="F377" s="66">
        <f>'National currencies'!F377*'Exchange rates'!B9</f>
        <v>3973</v>
      </c>
      <c r="G377" s="65">
        <f>'National currencies'!G377</f>
        <v>0</v>
      </c>
      <c r="H377" s="66">
        <f>'National currencies'!H377*'Exchange rates'!B9</f>
        <v>1348.5</v>
      </c>
      <c r="I377" s="48">
        <f>'National currencies'!I377*'Exchange rates'!B9</f>
        <v>2979.75</v>
      </c>
      <c r="J377" s="48"/>
      <c r="K377" s="61"/>
      <c r="L377" s="220"/>
      <c r="M377" s="62" t="str">
        <f>IF(ISBLANK(L377),"",IF(O2&gt;0,0,IF(N2=0,0,M2)))</f>
        <v/>
      </c>
      <c r="N377" s="49" t="str">
        <f>IF(ISBLANK(L377),"",IF(O2&gt;0,0,N2))</f>
        <v/>
      </c>
      <c r="O377" s="63"/>
      <c r="P377" s="68" t="str">
        <f>IF(ISBLANK(L377),"",IF(M377=0,0,IF(L377=1,H377+(M377-1)*H377,(H377+(L377-1)*G376)+(H377+(L377-1)*G376)*(M377-1))))</f>
        <v/>
      </c>
      <c r="Q377" s="72" t="str">
        <f>IF(ISBLANK(L377),"",IF(N377=0,0,IF(L377=1,F377+(N377-1)*I377,(F377+(L377-1)*G377)+(I377+(L377-1)*G377)*(N377-1))))</f>
        <v/>
      </c>
      <c r="R377" s="73"/>
      <c r="S377" s="64" t="str">
        <f>IF(ISBLANK(L377),"",IF(N377=0,"",IF(P377+Q377&gt;3500*'Exchange rates'!$B$9,3500*'Exchange rates'!$B$9,P377+Q377)))</f>
        <v/>
      </c>
    </row>
    <row r="378" spans="1:19" x14ac:dyDescent="0.4">
      <c r="A378" s="45" t="s">
        <v>42</v>
      </c>
      <c r="B378" s="46" t="s">
        <v>110</v>
      </c>
      <c r="C378" s="46" t="s">
        <v>1</v>
      </c>
      <c r="D378" s="53"/>
      <c r="E378" s="67" t="str">
        <f>IF('National currencies'!E378="","",'National currencies'!E378)</f>
        <v>Article 18 (3)</v>
      </c>
      <c r="F378" s="66">
        <f>'National currencies'!F378*'Exchange rates'!B9</f>
        <v>7540</v>
      </c>
      <c r="G378" s="65">
        <f>'National currencies'!G378</f>
        <v>0</v>
      </c>
      <c r="H378" s="66">
        <f>'National currencies'!H378*'Exchange rates'!B9</f>
        <v>1348.5</v>
      </c>
      <c r="I378" s="48">
        <f>'National currencies'!I378*'Exchange rates'!B9</f>
        <v>2979.75</v>
      </c>
      <c r="J378" s="48">
        <f>'National currencies'!J378*'Exchange rates'!B9</f>
        <v>5655</v>
      </c>
      <c r="K378" s="61"/>
      <c r="L378" s="220"/>
      <c r="M378" s="62" t="str">
        <f>IF(ISBLANK(L378),"",IF(O2=0,0,M2))</f>
        <v/>
      </c>
      <c r="N378" s="49" t="str">
        <f>IF(ISBLANK(L378),"",IF(O2=0,0,N2))</f>
        <v/>
      </c>
      <c r="O378" s="63" t="str">
        <f>IF(ISBLANK(L378),"",O2)</f>
        <v/>
      </c>
      <c r="P378" s="68" t="str">
        <f>IF(ISBLANK(L378),"",IF(M378=0,0,IF(L378=1,H378+(M378-1)*H378,(H378+(L378-1)*G376)+(H378+(L378-1)*G376)*(M378-1))))</f>
        <v/>
      </c>
      <c r="Q378" s="72" t="str">
        <f>IF(ISBLANK(L378),"",IF(N378=0,0,IF(L378=1,I378+(N378-1)*I378,(I378+(L378-1)*G377)+(I378+(L378-1)*G377)*(N378-1))))</f>
        <v/>
      </c>
      <c r="R378" s="73" t="str">
        <f>IF(ISBLANK(L378),"",IF(O378=0,0,IF(L378=1,F378+(O378-1)*J378,(F378+(L378-1)*G378)+(J378+(L378-1)*G378)*(O378-1))))</f>
        <v/>
      </c>
      <c r="S378" s="64" t="str">
        <f>IF(ISBLANK(L378),"",IF(O378=0,"",IF(P378+Q378+R378&gt;3500*'Exchange rates'!$B$9,3500*'Exchange rates'!$B$9,P378+Q378+R378)))</f>
        <v/>
      </c>
    </row>
    <row r="379" spans="1:19" x14ac:dyDescent="0.4">
      <c r="A379" s="45" t="s">
        <v>42</v>
      </c>
      <c r="B379" s="46" t="s">
        <v>108</v>
      </c>
      <c r="C379" s="46" t="s">
        <v>2</v>
      </c>
      <c r="D379" s="53"/>
      <c r="E379" s="67" t="str">
        <f>IF('National currencies'!E379="","",'National currencies'!E379)</f>
        <v>Article 18 (1)</v>
      </c>
      <c r="F379" s="66">
        <f>'National currencies'!F379*'Exchange rates'!B9</f>
        <v>174</v>
      </c>
      <c r="G379" s="65">
        <f>'National currencies'!G379</f>
        <v>0</v>
      </c>
      <c r="H379" s="66">
        <f>'National currencies'!H379*'Exchange rates'!B9</f>
        <v>130.5</v>
      </c>
      <c r="I379" s="48"/>
      <c r="J379" s="48"/>
      <c r="K379" s="61"/>
      <c r="L379" s="220"/>
      <c r="M379" s="62" t="str">
        <f>IF(ISBLANK(L379),"",IF((N2+O2)&gt;0,0,M2))</f>
        <v/>
      </c>
      <c r="N379" s="49"/>
      <c r="O379" s="63"/>
      <c r="P379" s="68" t="str">
        <f>IF(ISBLANK(L379),"",IF(M379=0,0,IF(L379=1,F379+(M379-1)*H379,(F379+(L379-1)*G379)+(H379+(L379-1)*G379)*(M379-1))))</f>
        <v/>
      </c>
      <c r="Q379" s="72"/>
      <c r="R379" s="73"/>
      <c r="S379" s="64" t="str">
        <f>IF(ISBLANK(L379),"",IF(M379=0,"",IF(P379&gt;250*'Exchange rates'!$B$9,250*'Exchange rates'!$B$9,P379)))</f>
        <v/>
      </c>
    </row>
    <row r="380" spans="1:19" x14ac:dyDescent="0.4">
      <c r="A380" s="45" t="s">
        <v>42</v>
      </c>
      <c r="B380" s="46" t="s">
        <v>109</v>
      </c>
      <c r="C380" s="46" t="s">
        <v>2</v>
      </c>
      <c r="D380" s="53"/>
      <c r="E380" s="67" t="str">
        <f>IF('National currencies'!E380="","",'National currencies'!E380)</f>
        <v>Article 18 (2)</v>
      </c>
      <c r="F380" s="66">
        <f>'National currencies'!F380*'Exchange rates'!B9</f>
        <v>638</v>
      </c>
      <c r="G380" s="65">
        <f>'National currencies'!G380</f>
        <v>0</v>
      </c>
      <c r="H380" s="66">
        <f>'National currencies'!H380*'Exchange rates'!B9</f>
        <v>130.5</v>
      </c>
      <c r="I380" s="48">
        <f>'National currencies'!I380*'Exchange rates'!B9</f>
        <v>478.5</v>
      </c>
      <c r="J380" s="48"/>
      <c r="K380" s="61"/>
      <c r="L380" s="220"/>
      <c r="M380" s="62" t="str">
        <f>IF(ISBLANK(L380),"",IF(O2&gt;0,0,IF(N2=0,0,M2)))</f>
        <v/>
      </c>
      <c r="N380" s="49" t="str">
        <f>IF(ISBLANK(L380),"",IF(O2&gt;0,0,N2))</f>
        <v/>
      </c>
      <c r="O380" s="63"/>
      <c r="P380" s="68" t="str">
        <f>IF(ISBLANK(L380),"",IF(M380=0,0,IF(L380=1,H380+(M380-1)*H380,(H380+(L380-1)*G379)+(H380+(L380-1)*G379)*(M380-1))))</f>
        <v/>
      </c>
      <c r="Q380" s="72" t="str">
        <f>IF(ISBLANK(L380),"",IF(N380=0,0,IF(L380=1,F380+(N380-1)*I380,(F380+(L380-1)*G380)+(I380+(L380-1)*G380)*(N380-1))))</f>
        <v/>
      </c>
      <c r="R380" s="73"/>
      <c r="S380" s="64" t="str">
        <f>IF(ISBLANK(L380),"",IF(N380=0,"",IF(P380+Q380&gt;450*'Exchange rates'!$B$9,450*'Exchange rates'!$B$9,P380+Q380)))</f>
        <v/>
      </c>
    </row>
    <row r="381" spans="1:19" x14ac:dyDescent="0.4">
      <c r="A381" s="45" t="s">
        <v>42</v>
      </c>
      <c r="B381" s="46" t="s">
        <v>110</v>
      </c>
      <c r="C381" s="46" t="s">
        <v>2</v>
      </c>
      <c r="D381" s="53"/>
      <c r="E381" s="67" t="str">
        <f>IF('National currencies'!E381="","",'National currencies'!E381)</f>
        <v>Article 18 (3)</v>
      </c>
      <c r="F381" s="66">
        <f>'National currencies'!F381*'Exchange rates'!B9</f>
        <v>812</v>
      </c>
      <c r="G381" s="65">
        <f>'National currencies'!G381</f>
        <v>0</v>
      </c>
      <c r="H381" s="66">
        <f>'National currencies'!H381*'Exchange rates'!B9</f>
        <v>130.5</v>
      </c>
      <c r="I381" s="48">
        <f>'National currencies'!I381*'Exchange rates'!B9</f>
        <v>478.5</v>
      </c>
      <c r="J381" s="48">
        <f>'National currencies'!J381*'Exchange rates'!B9</f>
        <v>609</v>
      </c>
      <c r="K381" s="61"/>
      <c r="L381" s="220"/>
      <c r="M381" s="62" t="str">
        <f>IF(ISBLANK(L381),"",IF(O2=0,0,M2))</f>
        <v/>
      </c>
      <c r="N381" s="49" t="str">
        <f>IF(ISBLANK(L381),"",IF(O2=0,0,N2))</f>
        <v/>
      </c>
      <c r="O381" s="63" t="str">
        <f>IF(ISBLANK(L381),"",O2)</f>
        <v/>
      </c>
      <c r="P381" s="68" t="str">
        <f>IF(ISBLANK(L381),"",IF(M381=0,0,IF(L381=1,H381+(M381-1)*H381,(H381+(L381-1)*G379)+(H381+(L381-1)*G379)*(M381-1))))</f>
        <v/>
      </c>
      <c r="Q381" s="72" t="str">
        <f>IF(ISBLANK(L381),"",IF(N381=0,0,IF(L381=1,I381+(N381-1)*I381,(I381+(L381-1)*G380)+(I381+(L381-1)*G380)*(N381-1))))</f>
        <v/>
      </c>
      <c r="R381" s="73" t="str">
        <f>IF(ISBLANK(L381),"",IF(O381=0,0,IF(L381=1,F381+(O381-1)*J381,(F381+(L381-1)*G381)+(J381+(L381-1)*G381)*(O381-1))))</f>
        <v/>
      </c>
      <c r="S381" s="64" t="str">
        <f>IF(ISBLANK(L381),"",IF(O381=0,"",IF(P381+Q381+R381&gt;450*'Exchange rates'!$B$9,450*'Exchange rates'!$B$9,P381+Q381+R381)))</f>
        <v/>
      </c>
    </row>
    <row r="382" spans="1:19" x14ac:dyDescent="0.4">
      <c r="A382" s="45" t="s">
        <v>42</v>
      </c>
      <c r="B382" s="46" t="s">
        <v>108</v>
      </c>
      <c r="C382" s="46" t="s">
        <v>0</v>
      </c>
      <c r="D382" s="53"/>
      <c r="E382" s="67" t="str">
        <f>IF('National currencies'!E382="","",'National currencies'!E382)</f>
        <v>Article 18 (1)</v>
      </c>
      <c r="F382" s="66">
        <f>'National currencies'!F382*'Exchange rates'!B9</f>
        <v>290</v>
      </c>
      <c r="G382" s="65">
        <f>'National currencies'!G382</f>
        <v>0</v>
      </c>
      <c r="H382" s="66">
        <f>'National currencies'!H382*'Exchange rates'!B9</f>
        <v>217.5</v>
      </c>
      <c r="I382" s="48"/>
      <c r="J382" s="48"/>
      <c r="K382" s="61"/>
      <c r="L382" s="220"/>
      <c r="M382" s="62" t="str">
        <f>IF(ISBLANK(L382),"",IF((N2+O2)&gt;0,0,M2))</f>
        <v/>
      </c>
      <c r="N382" s="49"/>
      <c r="O382" s="63"/>
      <c r="P382" s="68" t="str">
        <f>IF(ISBLANK(L382),"",IF(M382=0,0,IF(L382=1,F382+(M382-1)*H382,(F382+(L382-1)*G382)+(H382+(L382-1)*G382)*(M382-1))))</f>
        <v/>
      </c>
      <c r="Q382" s="72"/>
      <c r="R382" s="73"/>
      <c r="S382" s="64" t="str">
        <f>IF(ISBLANK(L382),"",IF(M382=0,"",IF(P382&gt;400*'Exchange rates'!$B$9,400*'Exchange rates'!$B$9,P382)))</f>
        <v/>
      </c>
    </row>
    <row r="383" spans="1:19" x14ac:dyDescent="0.4">
      <c r="A383" s="45" t="s">
        <v>42</v>
      </c>
      <c r="B383" s="46" t="s">
        <v>109</v>
      </c>
      <c r="C383" s="46" t="s">
        <v>0</v>
      </c>
      <c r="D383" s="53"/>
      <c r="E383" s="67" t="str">
        <f>IF('National currencies'!E383="","",'National currencies'!E383)</f>
        <v>Article 18 (2)</v>
      </c>
      <c r="F383" s="66">
        <f>'National currencies'!F383*'Exchange rates'!B9</f>
        <v>638</v>
      </c>
      <c r="G383" s="65">
        <f>'National currencies'!G383</f>
        <v>0</v>
      </c>
      <c r="H383" s="66">
        <f>'National currencies'!H383*'Exchange rates'!B9</f>
        <v>217.5</v>
      </c>
      <c r="I383" s="48">
        <f>'National currencies'!I383*'Exchange rates'!B9</f>
        <v>478.5</v>
      </c>
      <c r="J383" s="48"/>
      <c r="K383" s="61"/>
      <c r="L383" s="220"/>
      <c r="M383" s="62" t="str">
        <f>IF(ISBLANK(L383),"",IF(O2&gt;0,0,IF(N2=0,0,M2)))</f>
        <v/>
      </c>
      <c r="N383" s="49" t="str">
        <f>IF(ISBLANK(L383),"",IF(O2&gt;0,0,N2))</f>
        <v/>
      </c>
      <c r="O383" s="63"/>
      <c r="P383" s="68" t="str">
        <f>IF(ISBLANK(L383),"",IF(M383=0,0,IF(L383=1,H383+(M383-1)*H383,(H383+(L383-1)*G382)+(H383+(L383-1)*G382)*(M383-1))))</f>
        <v/>
      </c>
      <c r="Q383" s="72" t="str">
        <f>IF(ISBLANK(L383),"",IF(N383=0,0,IF(L383=1,F383+(N383-1)*I383,(F383+(L383-1)*G383)+(I383+(L383-1)*G383)*(N383-1))))</f>
        <v/>
      </c>
      <c r="R383" s="73"/>
      <c r="S383" s="64" t="str">
        <f>IF(ISBLANK(L383),"",IF(N383=0,"",IF(P383+Q383&gt;800*'Exchange rates'!$B$9,800*'Exchange rates'!$B$9,P383+Q383)))</f>
        <v/>
      </c>
    </row>
    <row r="384" spans="1:19" x14ac:dyDescent="0.4">
      <c r="A384" s="45" t="s">
        <v>42</v>
      </c>
      <c r="B384" s="46" t="s">
        <v>110</v>
      </c>
      <c r="C384" s="46" t="s">
        <v>0</v>
      </c>
      <c r="D384" s="53"/>
      <c r="E384" s="67" t="str">
        <f>IF('National currencies'!E384="","",'National currencies'!E384)</f>
        <v>Article 18 (3)</v>
      </c>
      <c r="F384" s="66">
        <f>'National currencies'!F384*'Exchange rates'!B9</f>
        <v>1508</v>
      </c>
      <c r="G384" s="65">
        <f>'National currencies'!G384</f>
        <v>0</v>
      </c>
      <c r="H384" s="66">
        <f>'National currencies'!H384*'Exchange rates'!B9</f>
        <v>217.5</v>
      </c>
      <c r="I384" s="48">
        <f>'National currencies'!I384*'Exchange rates'!B9</f>
        <v>478.5</v>
      </c>
      <c r="J384" s="48">
        <f>'National currencies'!J384*'Exchange rates'!B9</f>
        <v>1131</v>
      </c>
      <c r="K384" s="61"/>
      <c r="L384" s="220"/>
      <c r="M384" s="62" t="str">
        <f>IF(ISBLANK(L384),"",IF(O2=0,0,M2))</f>
        <v/>
      </c>
      <c r="N384" s="49" t="str">
        <f>IF(ISBLANK(L384),"",IF(O2=0,0,N2))</f>
        <v/>
      </c>
      <c r="O384" s="63" t="str">
        <f>IF(ISBLANK(L384),"",O2)</f>
        <v/>
      </c>
      <c r="P384" s="68" t="str">
        <f>IF(ISBLANK(L384),"",IF(M384=0,0,IF(L384=1,H384+(M384-1)*H384,(H384+(L384-1)*G382)+(H384+(L384-1)*G382)*(M384-1))))</f>
        <v/>
      </c>
      <c r="Q384" s="72" t="str">
        <f>IF(ISBLANK(L384),"",IF(N384=0,0,IF(L384=1,I384+(N384-1)*I384,(I384+(L384-1)*G383)+(I384+(L384-1)*G383)*(N384-1))))</f>
        <v/>
      </c>
      <c r="R384" s="73" t="str">
        <f>IF(ISBLANK(L384),"",IF(O384=0,0,IF(L384=1,F384+(O384-1)*J384,(F384+(L384-1)*G384)+(J384+(L384-1)*G384)*(O384-1))))</f>
        <v/>
      </c>
      <c r="S384" s="64" t="str">
        <f>IF(ISBLANK(L384),"",IF(O384=0,"",IF(P384+Q384+R384&gt;800*'Exchange rates'!$B$9,800*'Exchange rates'!$B$9,P384+Q384+R384)))</f>
        <v/>
      </c>
    </row>
    <row r="385" spans="1:19" x14ac:dyDescent="0.4">
      <c r="A385" s="45" t="s">
        <v>41</v>
      </c>
      <c r="B385" s="46" t="s">
        <v>108</v>
      </c>
      <c r="C385" s="46" t="s">
        <v>1</v>
      </c>
      <c r="D385" s="47"/>
      <c r="E385" s="67" t="str">
        <f>IF('National currencies'!E385="","",'National currencies'!E385)</f>
        <v/>
      </c>
      <c r="F385" s="66">
        <f>'National currencies'!F385</f>
        <v>200</v>
      </c>
      <c r="G385" s="65">
        <f>'National currencies'!G385</f>
        <v>200</v>
      </c>
      <c r="H385" s="66">
        <f>'National currencies'!H385</f>
        <v>200</v>
      </c>
      <c r="I385" s="48"/>
      <c r="J385" s="48"/>
      <c r="K385" s="61"/>
      <c r="L385" s="220"/>
      <c r="M385" s="62" t="str">
        <f>IF(ISBLANK(L385),"",IF((N2+O2)&gt;0,0,M2))</f>
        <v/>
      </c>
      <c r="N385" s="49"/>
      <c r="O385" s="63"/>
      <c r="P385" s="68" t="str">
        <f>IF(ISBLANK(L385),"",IF(M385=0,0,IF(L385=1,F385+(M385-1)*H385,(F385+(L385-1)*G385)+(H385+(L385-1)*G385)*(M385-1))))</f>
        <v/>
      </c>
      <c r="Q385" s="72"/>
      <c r="R385" s="73"/>
      <c r="S385" s="64" t="str">
        <f>IF(ISBLANK(L385),"",IF(M385=0,"",P385))</f>
        <v/>
      </c>
    </row>
    <row r="386" spans="1:19" x14ac:dyDescent="0.4">
      <c r="A386" s="45" t="s">
        <v>41</v>
      </c>
      <c r="B386" s="46" t="s">
        <v>109</v>
      </c>
      <c r="C386" s="46" t="s">
        <v>1</v>
      </c>
      <c r="D386" s="47"/>
      <c r="E386" s="67" t="str">
        <f>IF('National currencies'!E386="","",'National currencies'!E386)</f>
        <v/>
      </c>
      <c r="F386" s="66">
        <f>'National currencies'!F386</f>
        <v>200</v>
      </c>
      <c r="G386" s="65">
        <f>'National currencies'!G386</f>
        <v>200</v>
      </c>
      <c r="H386" s="66">
        <f>'National currencies'!H386</f>
        <v>200</v>
      </c>
      <c r="I386" s="48">
        <f>'National currencies'!I386</f>
        <v>200</v>
      </c>
      <c r="J386" s="48"/>
      <c r="K386" s="61"/>
      <c r="L386" s="220"/>
      <c r="M386" s="62" t="str">
        <f>IF(ISBLANK(L386),"",IF(O2&gt;0,0,IF(N2=0,0,M2)))</f>
        <v/>
      </c>
      <c r="N386" s="49" t="str">
        <f>IF(ISBLANK(L386),"",IF(O2&gt;0,0,N2))</f>
        <v/>
      </c>
      <c r="O386" s="63"/>
      <c r="P386" s="68" t="str">
        <f>IF(ISBLANK(L386),"",IF(M386=0,0,IF(L386=1,H386+(M386-1)*H386,(H386+(L386-1)*G385)+(H386+(L386-1)*G385)*(M386-1))))</f>
        <v/>
      </c>
      <c r="Q386" s="72" t="str">
        <f>IF(ISBLANK(L386),"",IF(N386=0,0,IF(L386=1,F386+(N386-1)*I386,(F386+(L386-1)*G386)+(I386+(L386-1)*G386)*(N386-1))))</f>
        <v/>
      </c>
      <c r="R386" s="73"/>
      <c r="S386" s="64" t="str">
        <f>IF(ISBLANK(L386),"",IF(N386=0,"",P386+Q386))</f>
        <v/>
      </c>
    </row>
    <row r="387" spans="1:19" x14ac:dyDescent="0.4">
      <c r="A387" s="45" t="s">
        <v>41</v>
      </c>
      <c r="B387" s="46" t="s">
        <v>110</v>
      </c>
      <c r="C387" s="46" t="s">
        <v>1</v>
      </c>
      <c r="D387" s="47"/>
      <c r="E387" s="67" t="str">
        <f>IF('National currencies'!E387="","",'National currencies'!E387)</f>
        <v/>
      </c>
      <c r="F387" s="66">
        <f>'National currencies'!F387</f>
        <v>5000</v>
      </c>
      <c r="G387" s="65">
        <f>'National currencies'!G387</f>
        <v>200</v>
      </c>
      <c r="H387" s="66">
        <f>'National currencies'!H387</f>
        <v>200</v>
      </c>
      <c r="I387" s="48">
        <f>'National currencies'!I387</f>
        <v>200</v>
      </c>
      <c r="J387" s="48">
        <f>'National currencies'!J387</f>
        <v>5000</v>
      </c>
      <c r="K387" s="61"/>
      <c r="L387" s="220"/>
      <c r="M387" s="62" t="str">
        <f>IF(ISBLANK(L387),"",IF(O2=0,0,M2))</f>
        <v/>
      </c>
      <c r="N387" s="49" t="str">
        <f>IF(ISBLANK(L387),"",IF(O2=0,0,N2))</f>
        <v/>
      </c>
      <c r="O387" s="63" t="str">
        <f>IF(ISBLANK(L387),"",O2)</f>
        <v/>
      </c>
      <c r="P387" s="68" t="str">
        <f>IF(ISBLANK(L387),"",IF(M387=0,0,IF(L387=1,H387+(M387-1)*H387,(H387+(L387-1)*G385)+(H387+(L387-1)*G385)*(M387-1))))</f>
        <v/>
      </c>
      <c r="Q387" s="72" t="str">
        <f>IF(ISBLANK(L387),"",IF(N387=0,0,IF(L387=1,I387+(N387-1)*I387,(I387+(L387-1)*G386)+(I387+(L387-1)*G386)*(N387-1))))</f>
        <v/>
      </c>
      <c r="R387" s="73" t="str">
        <f>IF(ISBLANK(L387),"",IF(O387=0,0,IF(L387=1,F387+(O387-1)*J387,(F387+(L387-1)*G387)+(J387+(L387-1)*G387)*(O387-1))))</f>
        <v/>
      </c>
      <c r="S387" s="64" t="str">
        <f>IF(ISBLANK(L387),"",IF(O387=0,"",P387+Q387+R387))</f>
        <v/>
      </c>
    </row>
    <row r="388" spans="1:19" x14ac:dyDescent="0.4">
      <c r="A388" s="45" t="s">
        <v>41</v>
      </c>
      <c r="B388" s="46" t="s">
        <v>108</v>
      </c>
      <c r="C388" s="46" t="s">
        <v>2</v>
      </c>
      <c r="D388" s="47"/>
      <c r="E388" s="67" t="str">
        <f>IF('National currencies'!E388="","",'National currencies'!E388)</f>
        <v/>
      </c>
      <c r="F388" s="66">
        <f>'National currencies'!F388</f>
        <v>200</v>
      </c>
      <c r="G388" s="65">
        <f>'National currencies'!G388</f>
        <v>200</v>
      </c>
      <c r="H388" s="66">
        <f>'National currencies'!H388</f>
        <v>200</v>
      </c>
      <c r="I388" s="48"/>
      <c r="J388" s="48"/>
      <c r="K388" s="61"/>
      <c r="L388" s="220"/>
      <c r="M388" s="62" t="str">
        <f>IF(ISBLANK(L388),"",IF((N2+O2)&gt;0,0,M2))</f>
        <v/>
      </c>
      <c r="N388" s="49"/>
      <c r="O388" s="63"/>
      <c r="P388" s="68" t="str">
        <f>IF(ISBLANK(L388),"",IF(M388=0,0,IF(L388=1,F388+(M388-1)*H388,(F388+(L388-1)*G388)+(H388+(L388-1)*G388)*(M388-1))))</f>
        <v/>
      </c>
      <c r="Q388" s="72"/>
      <c r="R388" s="73"/>
      <c r="S388" s="64" t="str">
        <f>IF(ISBLANK(L388),"",IF(M388=0,"",P388))</f>
        <v/>
      </c>
    </row>
    <row r="389" spans="1:19" x14ac:dyDescent="0.4">
      <c r="A389" s="45" t="s">
        <v>41</v>
      </c>
      <c r="B389" s="46" t="s">
        <v>109</v>
      </c>
      <c r="C389" s="46" t="s">
        <v>2</v>
      </c>
      <c r="D389" s="47"/>
      <c r="E389" s="67" t="str">
        <f>IF('National currencies'!E389="","",'National currencies'!E389)</f>
        <v/>
      </c>
      <c r="F389" s="66">
        <f>'National currencies'!F389</f>
        <v>200</v>
      </c>
      <c r="G389" s="65">
        <f>'National currencies'!G389</f>
        <v>200</v>
      </c>
      <c r="H389" s="66">
        <f>'National currencies'!H389</f>
        <v>200</v>
      </c>
      <c r="I389" s="48">
        <f>'National currencies'!I389</f>
        <v>200</v>
      </c>
      <c r="J389" s="48"/>
      <c r="K389" s="61"/>
      <c r="L389" s="220"/>
      <c r="M389" s="62" t="str">
        <f>IF(ISBLANK(L389),"",IF(O2&gt;0,0,IF(N2=0,0,M2)))</f>
        <v/>
      </c>
      <c r="N389" s="49" t="str">
        <f>IF(ISBLANK(L389),"",IF(O2&gt;0,0,N2))</f>
        <v/>
      </c>
      <c r="O389" s="63"/>
      <c r="P389" s="68" t="str">
        <f>IF(ISBLANK(L389),"",IF(M389=0,0,IF(L389=1,H389+(M389-1)*H389,(H389+(L389-1)*G388)+(H389+(L389-1)*G388)*(M389-1))))</f>
        <v/>
      </c>
      <c r="Q389" s="72" t="str">
        <f>IF(ISBLANK(L389),"",IF(N389=0,0,IF(L389=1,F389+(N389-1)*I389,(F389+(L389-1)*G389)+(I389+(L389-1)*G389)*(N389-1))))</f>
        <v/>
      </c>
      <c r="R389" s="73"/>
      <c r="S389" s="64" t="str">
        <f>IF(ISBLANK(L389),"",IF(N389=0,"",P389+Q389))</f>
        <v/>
      </c>
    </row>
    <row r="390" spans="1:19" x14ac:dyDescent="0.4">
      <c r="A390" s="45" t="s">
        <v>41</v>
      </c>
      <c r="B390" s="46" t="s">
        <v>110</v>
      </c>
      <c r="C390" s="46" t="s">
        <v>2</v>
      </c>
      <c r="D390" s="47"/>
      <c r="E390" s="67" t="str">
        <f>IF('National currencies'!E390="","",'National currencies'!E390)</f>
        <v/>
      </c>
      <c r="F390" s="66">
        <f>'National currencies'!F390</f>
        <v>3200</v>
      </c>
      <c r="G390" s="65">
        <f>'National currencies'!G390</f>
        <v>200</v>
      </c>
      <c r="H390" s="66">
        <f>'National currencies'!H390</f>
        <v>200</v>
      </c>
      <c r="I390" s="48">
        <f>'National currencies'!I390</f>
        <v>200</v>
      </c>
      <c r="J390" s="48">
        <f>'National currencies'!J390</f>
        <v>3200</v>
      </c>
      <c r="K390" s="61"/>
      <c r="L390" s="220"/>
      <c r="M390" s="62" t="str">
        <f>IF(ISBLANK(L390),"",IF(O2=0,0,M2))</f>
        <v/>
      </c>
      <c r="N390" s="49" t="str">
        <f>IF(ISBLANK(L390),"",IF(O2=0,0,N2))</f>
        <v/>
      </c>
      <c r="O390" s="63" t="str">
        <f>IF(ISBLANK(L390),"",O2)</f>
        <v/>
      </c>
      <c r="P390" s="68" t="str">
        <f>IF(ISBLANK(L390),"",IF(M390=0,0,IF(L390=1,H390+(M390-1)*H390,(H390+(L390-1)*G388)+(H390+(L390-1)*G388)*(M390-1))))</f>
        <v/>
      </c>
      <c r="Q390" s="72" t="str">
        <f>IF(ISBLANK(L390),"",IF(N390=0,0,IF(L390=1,I390+(N390-1)*I390,(I390+(L390-1)*G389)+(I390+(L390-1)*G389)*(N390-1))))</f>
        <v/>
      </c>
      <c r="R390" s="73" t="str">
        <f>IF(ISBLANK(L390),"",IF(O390=0,0,IF(L390=1,F390+(O390-1)*J390,(F390+(L390-1)*G390)+(J390+(L390-1)*G390)*(O390-1))))</f>
        <v/>
      </c>
      <c r="S390" s="64" t="str">
        <f>IF(ISBLANK(L390),"",IF(O390=0,"",P390+Q390+R390))</f>
        <v/>
      </c>
    </row>
    <row r="391" spans="1:19" x14ac:dyDescent="0.4">
      <c r="A391" s="45" t="s">
        <v>41</v>
      </c>
      <c r="B391" s="46" t="s">
        <v>108</v>
      </c>
      <c r="C391" s="46" t="s">
        <v>0</v>
      </c>
      <c r="D391" s="47"/>
      <c r="E391" s="67" t="str">
        <f>IF('National currencies'!E391="","",'National currencies'!E391)</f>
        <v/>
      </c>
      <c r="F391" s="66">
        <f>'National currencies'!F391</f>
        <v>200</v>
      </c>
      <c r="G391" s="65">
        <f>'National currencies'!G391</f>
        <v>200</v>
      </c>
      <c r="H391" s="66">
        <f>'National currencies'!H391</f>
        <v>200</v>
      </c>
      <c r="I391" s="48"/>
      <c r="J391" s="48"/>
      <c r="K391" s="61"/>
      <c r="L391" s="220"/>
      <c r="M391" s="62" t="str">
        <f>IF(ISBLANK(L391),"",IF((N2+O2)&gt;0,0,M2))</f>
        <v/>
      </c>
      <c r="N391" s="49"/>
      <c r="O391" s="63"/>
      <c r="P391" s="68" t="str">
        <f>IF(ISBLANK(L391),"",IF(M391=0,0,IF(L391=1,F391+(M391-1)*H391,(F391+(L391-1)*G391)+(H391+(L391-1)*G391)*(M391-1))))</f>
        <v/>
      </c>
      <c r="Q391" s="72"/>
      <c r="R391" s="73"/>
      <c r="S391" s="64" t="str">
        <f>IF(ISBLANK(L391),"",IF(M391=0,"",P391))</f>
        <v/>
      </c>
    </row>
    <row r="392" spans="1:19" x14ac:dyDescent="0.4">
      <c r="A392" s="45" t="s">
        <v>41</v>
      </c>
      <c r="B392" s="46" t="s">
        <v>109</v>
      </c>
      <c r="C392" s="46" t="s">
        <v>0</v>
      </c>
      <c r="D392" s="47"/>
      <c r="E392" s="67" t="str">
        <f>IF('National currencies'!E392="","",'National currencies'!E392)</f>
        <v/>
      </c>
      <c r="F392" s="66">
        <f>'National currencies'!F392</f>
        <v>200</v>
      </c>
      <c r="G392" s="65">
        <f>'National currencies'!G392</f>
        <v>200</v>
      </c>
      <c r="H392" s="66">
        <f>'National currencies'!H392</f>
        <v>200</v>
      </c>
      <c r="I392" s="48">
        <f>'National currencies'!I392</f>
        <v>200</v>
      </c>
      <c r="J392" s="48"/>
      <c r="K392" s="61"/>
      <c r="L392" s="220"/>
      <c r="M392" s="62" t="str">
        <f>IF(ISBLANK(L392),"",IF(O2&gt;0,0,IF(N2=0,0,M2)))</f>
        <v/>
      </c>
      <c r="N392" s="49" t="str">
        <f>IF(ISBLANK(L392),"",IF(O2&gt;0,0,N2))</f>
        <v/>
      </c>
      <c r="O392" s="63"/>
      <c r="P392" s="68" t="str">
        <f>IF(ISBLANK(L392),"",IF(M392=0,0,IF(L392=1,H392+(M392-1)*H392,(H392+(L392-1)*G391)+(H392+(L392-1)*G391)*(M392-1))))</f>
        <v/>
      </c>
      <c r="Q392" s="72" t="str">
        <f>IF(ISBLANK(L392),"",IF(N392=0,0,IF(L392=1,F392+(N392-1)*I392,(F392+(L392-1)*G392)+(I392+(L392-1)*G392)*(N392-1))))</f>
        <v/>
      </c>
      <c r="R392" s="73"/>
      <c r="S392" s="64" t="str">
        <f>IF(ISBLANK(L392),"",IF(N392=0,"",P392+Q392))</f>
        <v/>
      </c>
    </row>
    <row r="393" spans="1:19" x14ac:dyDescent="0.4">
      <c r="A393" s="45" t="s">
        <v>41</v>
      </c>
      <c r="B393" s="46" t="s">
        <v>110</v>
      </c>
      <c r="C393" s="46" t="s">
        <v>0</v>
      </c>
      <c r="D393" s="47"/>
      <c r="E393" s="67" t="str">
        <f>IF('National currencies'!E393="","",'National currencies'!E393)</f>
        <v/>
      </c>
      <c r="F393" s="66">
        <f>'National currencies'!F393</f>
        <v>4000</v>
      </c>
      <c r="G393" s="65">
        <f>'National currencies'!G393</f>
        <v>200</v>
      </c>
      <c r="H393" s="66">
        <f>'National currencies'!H393</f>
        <v>200</v>
      </c>
      <c r="I393" s="48">
        <f>'National currencies'!I393</f>
        <v>200</v>
      </c>
      <c r="J393" s="48">
        <f>'National currencies'!J393</f>
        <v>4000</v>
      </c>
      <c r="K393" s="61"/>
      <c r="L393" s="220"/>
      <c r="M393" s="62" t="str">
        <f>IF(ISBLANK(L393),"",IF(O2=0,0,M2))</f>
        <v/>
      </c>
      <c r="N393" s="49" t="str">
        <f>IF(ISBLANK(L393),"",IF(O2=0,0,N2))</f>
        <v/>
      </c>
      <c r="O393" s="63" t="str">
        <f>IF(ISBLANK(L393),"",O2)</f>
        <v/>
      </c>
      <c r="P393" s="68" t="str">
        <f>IF(ISBLANK(L393),"",IF(M393=0,0,IF(L393=1,H393+(M393-1)*H393,(H393+(L393-1)*G391)+(H393+(L393-1)*G391)*(M393-1))))</f>
        <v/>
      </c>
      <c r="Q393" s="72" t="str">
        <f>IF(ISBLANK(L393),"",IF(N393=0,0,IF(L393=1,I393+(N393-1)*I393,(I393+(L393-1)*G392)+(I393+(L393-1)*G392)*(N393-1))))</f>
        <v/>
      </c>
      <c r="R393" s="73" t="str">
        <f>IF(ISBLANK(L393),"",IF(O393=0,0,IF(L393=1,F393+(O393-1)*J393,(F393+(L393-1)*G393)+(J393+(L393-1)*G393)*(O393-1))))</f>
        <v/>
      </c>
      <c r="S393" s="64" t="str">
        <f>IF(ISBLANK(L393),"",IF(O393=0,"",P393+Q393+R393))</f>
        <v/>
      </c>
    </row>
    <row r="394" spans="1:19" x14ac:dyDescent="0.4">
      <c r="A394" s="45" t="s">
        <v>44</v>
      </c>
      <c r="B394" s="46" t="s">
        <v>108</v>
      </c>
      <c r="C394" s="46" t="s">
        <v>2</v>
      </c>
      <c r="D394" s="47"/>
      <c r="E394" s="67" t="str">
        <f>IF('National currencies'!E394="","",'National currencies'!E394)</f>
        <v>34. / 35. / 37.1</v>
      </c>
      <c r="F394" s="66">
        <f>'National currencies'!F394/'Exchange rates'!B10</f>
        <v>0</v>
      </c>
      <c r="G394" s="65">
        <f>'National currencies'!G394/'Exchange rates'!B10</f>
        <v>0</v>
      </c>
      <c r="H394" s="66"/>
      <c r="I394" s="48"/>
      <c r="J394" s="48"/>
      <c r="K394" s="61">
        <f>'National currencies'!K394/'Exchange rates'!B10</f>
        <v>0</v>
      </c>
      <c r="L394" s="220"/>
      <c r="M394" s="62" t="str">
        <f>IF(ISBLANK(L394),"",IF((N2+O2)&gt;0,0,M2))</f>
        <v/>
      </c>
      <c r="N394" s="49"/>
      <c r="O394" s="63"/>
      <c r="P394" s="69" t="str">
        <f>IF(ISBLANK(L394),"",IF(M394=0,0,IF(M394&gt;1,K394,F394)))</f>
        <v/>
      </c>
      <c r="Q394" s="74"/>
      <c r="R394" s="75"/>
      <c r="S394" s="64" t="str">
        <f>IF(ISBLANK(L394),"",IF(M394=0,"",0))</f>
        <v/>
      </c>
    </row>
    <row r="395" spans="1:19" x14ac:dyDescent="0.4">
      <c r="A395" s="45" t="s">
        <v>44</v>
      </c>
      <c r="B395" s="46" t="s">
        <v>109</v>
      </c>
      <c r="C395" s="46" t="s">
        <v>2</v>
      </c>
      <c r="D395" s="47"/>
      <c r="E395" s="67" t="str">
        <f>IF('National currencies'!E395="","",'National currencies'!E395)</f>
        <v>34. / 35. / 37.1</v>
      </c>
      <c r="F395" s="66">
        <f>'National currencies'!F395/'Exchange rates'!B10</f>
        <v>479.5202508611909</v>
      </c>
      <c r="G395" s="65">
        <f>'National currencies'!G395/'Exchange rates'!B10</f>
        <v>239.76012543059545</v>
      </c>
      <c r="H395" s="66"/>
      <c r="I395" s="48"/>
      <c r="J395" s="48"/>
      <c r="K395" s="61">
        <f>'National currencies'!K395/'Exchange rates'!B10</f>
        <v>479.5202508611909</v>
      </c>
      <c r="L395" s="220"/>
      <c r="M395" s="62" t="str">
        <f>IF(ISBLANK(L395),"",IF(O2&gt;0,0,IF(N2=0,0,M2)))</f>
        <v/>
      </c>
      <c r="N395" s="49" t="str">
        <f>IF(ISBLANK(L395),"",IF(O2&gt;0,0,N2))</f>
        <v/>
      </c>
      <c r="O395" s="63"/>
      <c r="P395" s="76"/>
      <c r="Q395" s="70" t="str">
        <f>IF(ISBLANK(L395),"",IF(N395=0,0,IF((N395+M395)&gt;1,K395+(L395-1)*(K395/2),IF(L395&gt;1,F395+(L395-1)*G395,F395))))</f>
        <v/>
      </c>
      <c r="R395" s="75"/>
      <c r="S395" s="64" t="str">
        <f>IF(ISBLANK(L395),"",IF(N395=0,"",P395+Q395))</f>
        <v/>
      </c>
    </row>
    <row r="396" spans="1:19" x14ac:dyDescent="0.4">
      <c r="A396" s="45" t="s">
        <v>44</v>
      </c>
      <c r="B396" s="46" t="s">
        <v>110</v>
      </c>
      <c r="C396" s="46" t="s">
        <v>2</v>
      </c>
      <c r="D396" s="47"/>
      <c r="E396" s="67" t="str">
        <f>IF('National currencies'!E396="","",'National currencies'!E396)</f>
        <v>34. / 35. / 37.1</v>
      </c>
      <c r="F396" s="66">
        <f>'National currencies'!F396/'Exchange rates'!B10</f>
        <v>479.5202508611909</v>
      </c>
      <c r="G396" s="65">
        <f>'National currencies'!G396/'Exchange rates'!B10</f>
        <v>239.76012543059545</v>
      </c>
      <c r="H396" s="66"/>
      <c r="I396" s="48"/>
      <c r="J396" s="48"/>
      <c r="K396" s="61">
        <f>'National currencies'!K396/'Exchange rates'!B10</f>
        <v>1748.7039219949875</v>
      </c>
      <c r="L396" s="220"/>
      <c r="M396" s="62" t="str">
        <f>IF(ISBLANK(L396),"",IF(O2=0,0,M2))</f>
        <v/>
      </c>
      <c r="N396" s="49" t="str">
        <f>IF(ISBLANK(L396),"",IF(O2=0,0,N2))</f>
        <v/>
      </c>
      <c r="O396" s="63" t="str">
        <f>IF(ISBLANK(L396),"",O2)</f>
        <v/>
      </c>
      <c r="P396" s="76"/>
      <c r="Q396" s="70"/>
      <c r="R396" s="71" t="str">
        <f>IF(ISBLANK(L396),"",IF(O396=0,0,IF((O396+N396+M396)&gt;1,K396+(L396-1)*(K396/2),IF(L396&gt;1,F396+(L396-1)*G396,F396))))</f>
        <v/>
      </c>
      <c r="S396" s="64" t="str">
        <f>IF(ISBLANK(L396),"",IF(O396=0,"",P396+Q396+R396))</f>
        <v/>
      </c>
    </row>
    <row r="397" spans="1:19" x14ac:dyDescent="0.4">
      <c r="A397" s="45" t="s">
        <v>44</v>
      </c>
      <c r="B397" s="46" t="s">
        <v>110</v>
      </c>
      <c r="C397" s="46" t="s">
        <v>2</v>
      </c>
      <c r="D397" s="47" t="s">
        <v>5</v>
      </c>
      <c r="E397" s="67" t="str">
        <f>IF('National currencies'!E397="","",'National currencies'!E397)</f>
        <v>34. / 35. / 37.1</v>
      </c>
      <c r="F397" s="66">
        <f>'National currencies'!F397/'Exchange rates'!B10</f>
        <v>3820.1398505361703</v>
      </c>
      <c r="G397" s="65">
        <f>'National currencies'!G397/'Exchange rates'!B10</f>
        <v>479.5202508611909</v>
      </c>
      <c r="H397" s="66"/>
      <c r="I397" s="48"/>
      <c r="J397" s="48"/>
      <c r="K397" s="61">
        <f>'National currencies'!K397/'Exchange rates'!B10</f>
        <v>4141.7274173428405</v>
      </c>
      <c r="L397" s="220"/>
      <c r="M397" s="62" t="str">
        <f>IF(ISBLANK(L397),"",IF(O2=0,0,M2))</f>
        <v/>
      </c>
      <c r="N397" s="49" t="str">
        <f>IF(ISBLANK(L397),"",IF(O2=0,0,N2))</f>
        <v/>
      </c>
      <c r="O397" s="63" t="str">
        <f>IF(ISBLANK(L397),"",O2)</f>
        <v/>
      </c>
      <c r="P397" s="76"/>
      <c r="Q397" s="70"/>
      <c r="R397" s="71" t="str">
        <f>IF(ISBLANK(L397),"",IF(O397=0,0,IF((O397+N397+M397)&gt;1,K397+(L397-1)*K396,IF(L397&gt;1,F397+(L397-1)*F396,F397))))</f>
        <v/>
      </c>
      <c r="S397" s="64" t="str">
        <f t="shared" ref="S397:S398" si="10">IF(ISBLANK(L397),"",IF(O397=0,"",P397+Q397+R397))</f>
        <v/>
      </c>
    </row>
    <row r="398" spans="1:19" x14ac:dyDescent="0.4">
      <c r="A398" s="45" t="s">
        <v>44</v>
      </c>
      <c r="B398" s="46" t="s">
        <v>110</v>
      </c>
      <c r="C398" s="46" t="s">
        <v>2</v>
      </c>
      <c r="D398" s="47" t="s">
        <v>45</v>
      </c>
      <c r="E398" s="67" t="str">
        <f>IF('National currencies'!E398="","",'National currencies'!E398)</f>
        <v>34. / 35. / 37.1</v>
      </c>
      <c r="F398" s="66">
        <f>'National currencies'!F398/'Exchange rates'!B10</f>
        <v>11788.873756852334</v>
      </c>
      <c r="G398" s="65">
        <f>'National currencies'!G398/'Exchange rates'!B10</f>
        <v>479.5202508611909</v>
      </c>
      <c r="H398" s="66"/>
      <c r="I398" s="48"/>
      <c r="J398" s="48"/>
      <c r="K398" s="61">
        <f>'National currencies'!K398/'Exchange rates'!B10</f>
        <v>12079.561450691814</v>
      </c>
      <c r="L398" s="220"/>
      <c r="M398" s="62" t="str">
        <f>IF(ISBLANK(L398),"",IF(O2=0,0,M2))</f>
        <v/>
      </c>
      <c r="N398" s="49" t="str">
        <f>IF(ISBLANK(L398),"",IF(O2=0,0,N2))</f>
        <v/>
      </c>
      <c r="O398" s="63" t="str">
        <f>IF(ISBLANK(L398),"",O2)</f>
        <v/>
      </c>
      <c r="P398" s="76"/>
      <c r="Q398" s="70"/>
      <c r="R398" s="71" t="str">
        <f>IF(ISBLANK(L398),"",IF(O398=0,0,IF((O398+N398+M398)&gt;1,K398+(L398-1)*K396,IF(L398&gt;1,F398+(L398-1)*F396,F398))))</f>
        <v/>
      </c>
      <c r="S398" s="64" t="str">
        <f t="shared" si="10"/>
        <v/>
      </c>
    </row>
    <row r="399" spans="1:19" x14ac:dyDescent="0.4">
      <c r="A399" s="45" t="s">
        <v>44</v>
      </c>
      <c r="B399" s="46" t="s">
        <v>108</v>
      </c>
      <c r="C399" s="46" t="s">
        <v>0</v>
      </c>
      <c r="D399" s="47"/>
      <c r="E399" s="67" t="str">
        <f>IF('National currencies'!E399="","",'National currencies'!E399)</f>
        <v>34. / 35. / 37.1</v>
      </c>
      <c r="F399" s="66">
        <f>'National currencies'!F399/'Exchange rates'!B10</f>
        <v>0</v>
      </c>
      <c r="G399" s="65">
        <f>'National currencies'!G399/'Exchange rates'!B10</f>
        <v>0</v>
      </c>
      <c r="H399" s="66"/>
      <c r="I399" s="48"/>
      <c r="J399" s="48"/>
      <c r="K399" s="61">
        <f>'National currencies'!K399/'Exchange rates'!B10</f>
        <v>0</v>
      </c>
      <c r="L399" s="220"/>
      <c r="M399" s="62" t="str">
        <f>IF(ISBLANK(L399),"",IF((N2+O2)&gt;0,0,M2))</f>
        <v/>
      </c>
      <c r="N399" s="49"/>
      <c r="O399" s="63"/>
      <c r="P399" s="69" t="str">
        <f>IF(ISBLANK(L399),"",IF(M399=0,0,IF(M399&gt;1,K399,F399)))</f>
        <v/>
      </c>
      <c r="Q399" s="70"/>
      <c r="R399" s="71"/>
      <c r="S399" s="64" t="str">
        <f>IF(ISBLANK(L399),"",IF(M399=0,"",0))</f>
        <v/>
      </c>
    </row>
    <row r="400" spans="1:19" x14ac:dyDescent="0.4">
      <c r="A400" s="45" t="s">
        <v>44</v>
      </c>
      <c r="B400" s="46" t="s">
        <v>109</v>
      </c>
      <c r="C400" s="46" t="s">
        <v>0</v>
      </c>
      <c r="D400" s="47"/>
      <c r="E400" s="67" t="str">
        <f>IF('National currencies'!E400="","",'National currencies'!E400)</f>
        <v>34. / 35. / 37.1</v>
      </c>
      <c r="F400" s="66">
        <f>'National currencies'!F400/'Exchange rates'!B10</f>
        <v>479.5202508611909</v>
      </c>
      <c r="G400" s="65">
        <f>'National currencies'!G400/'Exchange rates'!B10</f>
        <v>239.76012543059545</v>
      </c>
      <c r="H400" s="66"/>
      <c r="I400" s="48"/>
      <c r="J400" s="48"/>
      <c r="K400" s="61">
        <f>'National currencies'!K400/'Exchange rates'!B10</f>
        <v>953.3183030247543</v>
      </c>
      <c r="L400" s="220"/>
      <c r="M400" s="62" t="str">
        <f>IF(ISBLANK(L400),"",IF(O2&gt;0,0,IF(N2=0,0,M2)))</f>
        <v/>
      </c>
      <c r="N400" s="49" t="str">
        <f>IF(ISBLANK(L400),"",IF(O2&gt;0,0,N2))</f>
        <v/>
      </c>
      <c r="O400" s="63"/>
      <c r="P400" s="76"/>
      <c r="Q400" s="70" t="str">
        <f>IF(ISBLANK(L400),"",IF(N400=0,0,IF((N400+M400)&gt;1,K400+(L400-1)*(K400/2),IF(L400&gt;1,F400+(L400-1)*G400,F400))))</f>
        <v/>
      </c>
      <c r="R400" s="71"/>
      <c r="S400" s="64" t="str">
        <f>IF(ISBLANK(L400),"",IF(N400=0,"",P400+Q400))</f>
        <v/>
      </c>
    </row>
    <row r="401" spans="1:19" x14ac:dyDescent="0.4">
      <c r="A401" s="45" t="s">
        <v>44</v>
      </c>
      <c r="B401" s="46" t="s">
        <v>110</v>
      </c>
      <c r="C401" s="46" t="s">
        <v>0</v>
      </c>
      <c r="D401" s="47"/>
      <c r="E401" s="67" t="str">
        <f>IF('National currencies'!E401="","",'National currencies'!E401)</f>
        <v>34. / 35. / 37.1</v>
      </c>
      <c r="F401" s="66">
        <f>'National currencies'!F401/'Exchange rates'!B10</f>
        <v>1823.0925050641461</v>
      </c>
      <c r="G401" s="65">
        <f>'National currencies'!G401/'Exchange rates'!B10</f>
        <v>911.54625253207303</v>
      </c>
      <c r="H401" s="66"/>
      <c r="I401" s="48"/>
      <c r="J401" s="48"/>
      <c r="K401" s="61">
        <f>'National currencies'!K401/'Exchange rates'!B10</f>
        <v>2531.5007038304398</v>
      </c>
      <c r="L401" s="220"/>
      <c r="M401" s="62" t="str">
        <f>IF(ISBLANK(L401),"",IF(O2=0,0,M2))</f>
        <v/>
      </c>
      <c r="N401" s="49" t="str">
        <f>IF(ISBLANK(L401),"",IF(O2=0,0,N2))</f>
        <v/>
      </c>
      <c r="O401" s="63" t="str">
        <f>IF(ISBLANK(L401),"",O2)</f>
        <v/>
      </c>
      <c r="P401" s="76"/>
      <c r="Q401" s="74"/>
      <c r="R401" s="71" t="str">
        <f>IF(ISBLANK(L401),"",IF(O401=0,0,IF((O401+N401+M401)&gt;1,K401+(L401-1)*(K401/2),IF(L401&gt;1,F401+(L401-1)*G401,F401))))</f>
        <v/>
      </c>
      <c r="S401" s="64" t="str">
        <f>IF(ISBLANK(L401),"",IF(O401=0,"",P401+Q401+R401))</f>
        <v/>
      </c>
    </row>
    <row r="402" spans="1:19" x14ac:dyDescent="0.4">
      <c r="A402" s="45" t="s">
        <v>44</v>
      </c>
      <c r="B402" s="46" t="s">
        <v>110</v>
      </c>
      <c r="C402" s="46" t="s">
        <v>0</v>
      </c>
      <c r="D402" s="47" t="s">
        <v>5</v>
      </c>
      <c r="E402" s="67" t="str">
        <f>IF('National currencies'!E402="","",'National currencies'!E402)</f>
        <v>34. / 35. / 37.1</v>
      </c>
      <c r="F402" s="66">
        <f>'National currencies'!F402/'Exchange rates'!B10</f>
        <v>12733.036541960884</v>
      </c>
      <c r="G402" s="65">
        <f>'National currencies'!G402/'Exchange rates'!B10</f>
        <v>1823.0925050641461</v>
      </c>
      <c r="H402" s="66"/>
      <c r="I402" s="48"/>
      <c r="J402" s="48"/>
      <c r="K402" s="61">
        <f>'National currencies'!K402/'Exchange rates'!B10</f>
        <v>13807.665457375342</v>
      </c>
      <c r="L402" s="220"/>
      <c r="M402" s="62" t="str">
        <f>IF(ISBLANK(L402),"",IF(O2=0,0,M2))</f>
        <v/>
      </c>
      <c r="N402" s="49" t="str">
        <f>IF(ISBLANK(L402),"",IF(O2=0,0,N2))</f>
        <v/>
      </c>
      <c r="O402" s="63" t="str">
        <f>IF(ISBLANK(L402),"",O2)</f>
        <v/>
      </c>
      <c r="P402" s="76"/>
      <c r="Q402" s="74"/>
      <c r="R402" s="71" t="str">
        <f>IF(ISBLANK(L402),"",IF(O402=0,0,IF((O402+N402+M402)&gt;1,K402+(L402-1)*K401,IF(L402&gt;1,F402+(L402-1)*F401,F402))))</f>
        <v/>
      </c>
      <c r="S402" s="64" t="str">
        <f t="shared" ref="S402:S403" si="11">IF(ISBLANK(L402),"",IF(O402=0,"",P402+Q402+R402))</f>
        <v/>
      </c>
    </row>
    <row r="403" spans="1:19" x14ac:dyDescent="0.4">
      <c r="A403" s="45" t="s">
        <v>44</v>
      </c>
      <c r="B403" s="46" t="s">
        <v>110</v>
      </c>
      <c r="C403" s="46" t="s">
        <v>0</v>
      </c>
      <c r="D403" s="47" t="s">
        <v>45</v>
      </c>
      <c r="E403" s="67" t="str">
        <f>IF('National currencies'!E403="","",'National currencies'!E403)</f>
        <v>34. / 35. / 37.1</v>
      </c>
      <c r="F403" s="66">
        <f>'National currencies'!F403/'Exchange rates'!B10</f>
        <v>45975.577655958528</v>
      </c>
      <c r="G403" s="65">
        <f>'National currencies'!G403/'Exchange rates'!B10</f>
        <v>1823.0925050641461</v>
      </c>
      <c r="H403" s="66"/>
      <c r="I403" s="48"/>
      <c r="J403" s="48"/>
      <c r="K403" s="61">
        <f>'National currencies'!K403/'Exchange rates'!B10</f>
        <v>40265.967795465731</v>
      </c>
      <c r="L403" s="220"/>
      <c r="M403" s="62" t="str">
        <f>IF(ISBLANK(L403),"",IF(O2=0,0,M2))</f>
        <v/>
      </c>
      <c r="N403" s="49" t="str">
        <f>IF(ISBLANK(L403),"",IF(O2=0,0,N2))</f>
        <v/>
      </c>
      <c r="O403" s="63" t="str">
        <f>IF(ISBLANK(L403),"",O2)</f>
        <v/>
      </c>
      <c r="P403" s="76"/>
      <c r="Q403" s="74"/>
      <c r="R403" s="71" t="str">
        <f>IF(ISBLANK(L403),"",IF(O403=0,0,IF((O403+N403+M403)&gt;1,K403+(L403-1)*K401,IF(L403&gt;1,F403+(L403-1)*F401,F403))))</f>
        <v/>
      </c>
      <c r="S403" s="64" t="str">
        <f t="shared" si="11"/>
        <v/>
      </c>
    </row>
    <row r="404" spans="1:19" x14ac:dyDescent="0.4">
      <c r="A404" s="45" t="s">
        <v>137</v>
      </c>
      <c r="B404" s="46" t="s">
        <v>108</v>
      </c>
      <c r="C404" s="46" t="s">
        <v>0</v>
      </c>
      <c r="D404" s="47"/>
      <c r="E404" s="67" t="str">
        <f>IF('National currencies'!E404="","",'National currencies'!E404)</f>
        <v>Art. 7.1</v>
      </c>
      <c r="F404" s="66">
        <f>'National currencies'!F404/'Exchange rates'!B11</f>
        <v>170.39283130095865</v>
      </c>
      <c r="G404" s="65">
        <f>'National currencies'!G404/'Exchange rates'!B11</f>
        <v>170.39283130095865</v>
      </c>
      <c r="H404" s="66">
        <f>'National currencies'!H404/'Exchange rates'!B11</f>
        <v>170.39283130095865</v>
      </c>
      <c r="I404" s="48"/>
      <c r="J404" s="48"/>
      <c r="K404" s="61"/>
      <c r="L404" s="220"/>
      <c r="M404" s="62" t="str">
        <f>IF(ISBLANK(L404),"",IF((N2+O2)&gt;0,0,M2))</f>
        <v/>
      </c>
      <c r="N404" s="49"/>
      <c r="O404" s="63"/>
      <c r="P404" s="69" t="str">
        <f>IF(ISBLANK(L404),"",IF(M404=0,0,IF(L404=1,F404+(M404-1)*H404,(F404+(L404-1)*G404)+(H404+(L404-1)*G404)*(M404-1))))</f>
        <v/>
      </c>
      <c r="Q404" s="70"/>
      <c r="R404" s="71"/>
      <c r="S404" s="64" t="str">
        <f>IF(ISBLANK(L404),"",IF(M404=0,"",P404))</f>
        <v/>
      </c>
    </row>
    <row r="405" spans="1:19" x14ac:dyDescent="0.4">
      <c r="A405" s="45" t="s">
        <v>137</v>
      </c>
      <c r="B405" s="46" t="s">
        <v>109</v>
      </c>
      <c r="C405" s="46" t="s">
        <v>0</v>
      </c>
      <c r="D405" s="47"/>
      <c r="E405" s="96" t="str">
        <f>IF('National currencies'!E405="","",'National currencies'!E405)</f>
        <v>Art. 7.1</v>
      </c>
      <c r="F405" s="66">
        <f>'National currencies'!F405/'Exchange rates'!B11</f>
        <v>170.39283130095865</v>
      </c>
      <c r="G405" s="65">
        <f>'National currencies'!G405/'Exchange rates'!B11</f>
        <v>170.39283130095865</v>
      </c>
      <c r="H405" s="66">
        <f>'National currencies'!H405/'Exchange rates'!B11</f>
        <v>170.39283130095865</v>
      </c>
      <c r="I405" s="48">
        <f>'National currencies'!I405/'Exchange rates'!B11</f>
        <v>170.39283130095865</v>
      </c>
      <c r="J405" s="48"/>
      <c r="K405" s="61"/>
      <c r="L405" s="220"/>
      <c r="M405" s="62" t="str">
        <f>IF(ISBLANK(L405),"",IF(O2&gt;0,0,IF(N2=0,0,M2)))</f>
        <v/>
      </c>
      <c r="N405" s="49" t="str">
        <f>IF(ISBLANK(L405),"",IF(O2&gt;0,0,N2))</f>
        <v/>
      </c>
      <c r="O405" s="63"/>
      <c r="P405" s="69" t="str">
        <f>IF(ISBLANK(L405),"",IF(M405=0,0,IF(L405=1,H405+(M405-1)*H405,(H405+(L405-1)*G404)+(H405+(L405-1)*G404)*(M405-1))))</f>
        <v/>
      </c>
      <c r="Q405" s="70" t="str">
        <f>IF(ISBLANK(L405),"",IF(N405=0,0,IF(L405=1,F405+(N405-1)*I405,(F405+(L405-1)*G405)+(I405+(L405-1)*G405)*(N405-1))))</f>
        <v/>
      </c>
      <c r="R405" s="71"/>
      <c r="S405" s="64" t="str">
        <f>IF(ISBLANK(L405),"",IF(N405=0,"",P405+Q405))</f>
        <v/>
      </c>
    </row>
    <row r="406" spans="1:19" x14ac:dyDescent="0.4">
      <c r="A406" s="45" t="s">
        <v>137</v>
      </c>
      <c r="B406" s="46" t="s">
        <v>110</v>
      </c>
      <c r="C406" s="46" t="s">
        <v>0</v>
      </c>
      <c r="D406" s="47"/>
      <c r="E406" s="96" t="str">
        <f>IF('National currencies'!E406="","",'National currencies'!E406)</f>
        <v>Art. 7.2</v>
      </c>
      <c r="F406" s="66">
        <f>'National currencies'!F406/'Exchange rates'!B11</f>
        <v>400.42315355725282</v>
      </c>
      <c r="G406" s="65">
        <f>'National currencies'!G406/'Exchange rates'!B11</f>
        <v>400.42315355725282</v>
      </c>
      <c r="H406" s="66">
        <f>'National currencies'!H406/'Exchange rates'!B11</f>
        <v>170.39283130095865</v>
      </c>
      <c r="I406" s="48">
        <f>'National currencies'!I406/'Exchange rates'!B11</f>
        <v>170.39283130095865</v>
      </c>
      <c r="J406" s="48">
        <f>'National currencies'!J406/'Exchange rates'!B11</f>
        <v>400.42315355725282</v>
      </c>
      <c r="K406" s="61"/>
      <c r="L406" s="220"/>
      <c r="M406" s="62" t="str">
        <f>IF(ISBLANK(L406),"",IF(O2=0,0,M2))</f>
        <v/>
      </c>
      <c r="N406" s="49" t="str">
        <f>IF(ISBLANK(L406),"",IF(O2=0,0,N2))</f>
        <v/>
      </c>
      <c r="O406" s="63" t="str">
        <f>IF(ISBLANK(L406),"",O2)</f>
        <v/>
      </c>
      <c r="P406" s="69" t="str">
        <f>IF(ISBLANK(L406),"",IF(M406=0,0,IF(L406=1,H406+(M406-1)*H406,(H406+(L406-1)*G404)+(H406+(L406-1)*G404)*(M406-1))))</f>
        <v/>
      </c>
      <c r="Q406" s="70" t="str">
        <f>IF(ISBLANK(L406),"",IF(N406=0,0,IF(L406=1,I406+(N406-1)*I406,(I406+(L406-1)*G405)+(I406+(L406-1)*G405)*(N406-1))))</f>
        <v/>
      </c>
      <c r="R406" s="71" t="str">
        <f>IF(ISBLANK(L406),"",IF(O406=0,0,IF(L406=1,F406+(O406-1)*J406,(F406+(L406-1)*G406)+(J406+(L406-1)*G406)*(O406-1))))</f>
        <v/>
      </c>
      <c r="S406" s="64" t="str">
        <f>IF(ISBLANK(L406),"",IF(O406=0,"",P406+Q406+R406))</f>
        <v/>
      </c>
    </row>
    <row r="407" spans="1:19" x14ac:dyDescent="0.4">
      <c r="A407" s="97" t="s">
        <v>399</v>
      </c>
      <c r="B407" s="46" t="s">
        <v>108</v>
      </c>
      <c r="C407" s="46" t="s">
        <v>0</v>
      </c>
      <c r="D407" s="98"/>
      <c r="E407" s="96" t="str">
        <f>IF('National currencies'!E407="","",'National currencies'!E407)</f>
        <v>7.1 / 7.2</v>
      </c>
      <c r="F407" s="66">
        <f>'National currencies'!F407/'Exchange rates'!B12</f>
        <v>219.1420588396428</v>
      </c>
      <c r="G407" s="65">
        <f>'National currencies'!G407/'Exchange rates'!B12</f>
        <v>43.828411767928564</v>
      </c>
      <c r="H407" s="66">
        <f>'National currencies'!H407/'Exchange rates'!B12</f>
        <v>219.1420588396428</v>
      </c>
      <c r="I407" s="48"/>
      <c r="J407" s="48"/>
      <c r="K407" s="61"/>
      <c r="L407" s="220"/>
      <c r="M407" s="62" t="str">
        <f>IF(ISBLANK(L407),"",IF((N2+O2)&gt;0,0,M2))</f>
        <v/>
      </c>
      <c r="N407" s="49"/>
      <c r="O407" s="63"/>
      <c r="P407" s="69" t="str">
        <f>IF(ISBLANK(L407),"",IF(M407=0,0,IF(L407=1,F407+(M407-1)*H407,(F407+(L407-1)*G407)+(H407+(L407-1)*G407)*(M407-1))))</f>
        <v/>
      </c>
      <c r="Q407" s="70"/>
      <c r="R407" s="71"/>
      <c r="S407" s="64" t="str">
        <f>IF(ISBLANK(L407),"",IF(M407=0,"",IF(P407&gt;80000,80000,P407)))</f>
        <v/>
      </c>
    </row>
    <row r="408" spans="1:19" x14ac:dyDescent="0.4">
      <c r="A408" s="97" t="s">
        <v>399</v>
      </c>
      <c r="B408" s="46" t="s">
        <v>109</v>
      </c>
      <c r="C408" s="46" t="s">
        <v>0</v>
      </c>
      <c r="D408" s="98"/>
      <c r="E408" s="96" t="str">
        <f>IF('National currencies'!E408="","",'National currencies'!E408)</f>
        <v>6.1</v>
      </c>
      <c r="F408" s="66">
        <f>'National currencies'!F408/'Exchange rates'!B12</f>
        <v>821.78272064866053</v>
      </c>
      <c r="G408" s="65">
        <f>'National currencies'!G408/'Exchange rates'!B12</f>
        <v>164.3565441297321</v>
      </c>
      <c r="H408" s="66">
        <f>'National currencies'!H408/'Exchange rates'!B12</f>
        <v>219.1420588396428</v>
      </c>
      <c r="I408" s="48">
        <f>'National currencies'!I408/'Exchange rates'!B12</f>
        <v>821.78272064866053</v>
      </c>
      <c r="J408" s="48"/>
      <c r="K408" s="61"/>
      <c r="L408" s="220"/>
      <c r="M408" s="62" t="str">
        <f>IF(ISBLANK(L408),"",IF(O2&gt;0,0,IF(N2=0,0,M2)))</f>
        <v/>
      </c>
      <c r="N408" s="49" t="str">
        <f>IF(ISBLANK(L408),"",IF(O2&gt;0,0,N2))</f>
        <v/>
      </c>
      <c r="O408" s="63"/>
      <c r="P408" s="69" t="str">
        <f>IF(ISBLANK(L408),"",IF(M408=0,0,IF(L408=1,H408+(M408-1)*H408,(H408+(L408-1)*G407)+(H408+(L408-1)*G407)*(M408-1))))</f>
        <v/>
      </c>
      <c r="Q408" s="70" t="str">
        <f>IF(ISBLANK(L408),"",IF(N408=0,0,IF(L408=1,F408+(N408-1)*I408,(F408+(L408-1)*G408)+(I408+(L408-1)*G408)*(N408-1))))</f>
        <v/>
      </c>
      <c r="R408" s="71"/>
      <c r="S408" s="64" t="str">
        <f>IF(ISBLANK(L408),"",IF(N408=0,"",IF((P408+Q408)&gt;80000,80000,P408+Q408)))</f>
        <v/>
      </c>
    </row>
    <row r="409" spans="1:19" x14ac:dyDescent="0.4">
      <c r="A409" s="97" t="s">
        <v>399</v>
      </c>
      <c r="B409" s="46" t="s">
        <v>110</v>
      </c>
      <c r="C409" s="46" t="s">
        <v>0</v>
      </c>
      <c r="D409" s="99" t="s">
        <v>418</v>
      </c>
      <c r="E409" s="96" t="str">
        <f>IF('National currencies'!E409="","",'National currencies'!E409)</f>
        <v>5.1</v>
      </c>
      <c r="F409" s="66">
        <f>'National currencies'!F409/'Exchange rates'!B12</f>
        <v>27392.757354955353</v>
      </c>
      <c r="G409" s="65">
        <f>'National currencies'!G409/'Exchange rates'!B12</f>
        <v>5478.5514709910703</v>
      </c>
      <c r="H409" s="66">
        <f>'National currencies'!H409/'Exchange rates'!B12</f>
        <v>219.1420588396428</v>
      </c>
      <c r="I409" s="48">
        <f>'National currencies'!I409/'Exchange rates'!B12</f>
        <v>821.78272064866053</v>
      </c>
      <c r="J409" s="48">
        <f>'National currencies'!J409/'Exchange rates'!B12</f>
        <v>27392.757354955353</v>
      </c>
      <c r="K409" s="61"/>
      <c r="L409" s="220"/>
      <c r="M409" s="62" t="str">
        <f>IF(ISBLANK(L409),"",IF(O2=0,0,M2))</f>
        <v/>
      </c>
      <c r="N409" s="49" t="str">
        <f>IF(ISBLANK(L409),"",IF(O2=0,0,N2))</f>
        <v/>
      </c>
      <c r="O409" s="63" t="str">
        <f>IF(ISBLANK(L409),"",O2)</f>
        <v/>
      </c>
      <c r="P409" s="69" t="str">
        <f>IF(ISBLANK(L409),"",IF(M409=0,0,IF(L409=1,H409+(M409-1)*H409,(H409+(L409-1)*G407)+(H409+(L409-1)*G407)*(M409-1))))</f>
        <v/>
      </c>
      <c r="Q409" s="70" t="str">
        <f>IF(ISBLANK(L409),"",IF(N409=0,0,IF(L409=1,I409+(N409-1)*I409,(I409+(L409-1)*G408)+(I409+(L409-1)*G408)*(N409-1))))</f>
        <v/>
      </c>
      <c r="R409" s="71" t="str">
        <f t="shared" ref="R409:R414" si="12">IF(ISBLANK(L409),"",IF(O409=0,0,IF(L409=1,F409+(O409-1)*J409,(F409+(L409-1)*G409)+(J409+(L409-1)*G409)*(O409-1))))</f>
        <v/>
      </c>
      <c r="S409" s="64" t="str">
        <f t="shared" ref="S409:S414" si="13">IF(ISBLANK(L409),"",IF(O409=0,"",IF((P409+Q409+R409)&gt;80000,80000,P409+Q409+R409)))</f>
        <v/>
      </c>
    </row>
    <row r="410" spans="1:19" x14ac:dyDescent="0.4">
      <c r="A410" s="97" t="s">
        <v>399</v>
      </c>
      <c r="B410" s="46" t="s">
        <v>110</v>
      </c>
      <c r="C410" s="46" t="s">
        <v>0</v>
      </c>
      <c r="D410" s="99" t="s">
        <v>419</v>
      </c>
      <c r="E410" s="96" t="str">
        <f>IF('National currencies'!E410="","",'National currencies'!E410)</f>
        <v>5.2</v>
      </c>
      <c r="F410" s="66">
        <f>'National currencies'!F410/'Exchange rates'!B12</f>
        <v>10957.102941982141</v>
      </c>
      <c r="G410" s="65">
        <f>'National currencies'!G410/'Exchange rates'!B12</f>
        <v>2191.4205883964282</v>
      </c>
      <c r="H410" s="66">
        <f>'National currencies'!H410/'Exchange rates'!B12</f>
        <v>219.1420588396428</v>
      </c>
      <c r="I410" s="48">
        <f>'National currencies'!I410/'Exchange rates'!B12</f>
        <v>821.78272064866053</v>
      </c>
      <c r="J410" s="48">
        <f>'National currencies'!J410/'Exchange rates'!B12</f>
        <v>10957.102941982141</v>
      </c>
      <c r="K410" s="61"/>
      <c r="L410" s="220"/>
      <c r="M410" s="62" t="str">
        <f>IF(ISBLANK(L410),"",IF(O2=0,0,M2))</f>
        <v/>
      </c>
      <c r="N410" s="49" t="str">
        <f>IF(ISBLANK(L410),"",IF(O2=0,0,N2))</f>
        <v/>
      </c>
      <c r="O410" s="63" t="str">
        <f>IF(ISBLANK(L410),"",O2)</f>
        <v/>
      </c>
      <c r="P410" s="69" t="str">
        <f>IF(ISBLANK(L410),"",IF(M410=0,0,IF(L410=1,H410+(M410-1)*H410,(H410+(L410-1)*G407)+(H410+(L410-1)*G407)*(M410-1))))</f>
        <v/>
      </c>
      <c r="Q410" s="70" t="str">
        <f>IF(ISBLANK(L410),"",IF(N410=0,0,IF(L410=1,I410+(N410-1)*I410,(I410+(L410-1)*G408)+(I410+(L410-1)*G408)*(N410-1))))</f>
        <v/>
      </c>
      <c r="R410" s="71" t="str">
        <f t="shared" si="12"/>
        <v/>
      </c>
      <c r="S410" s="64" t="str">
        <f t="shared" si="13"/>
        <v/>
      </c>
    </row>
    <row r="411" spans="1:19" x14ac:dyDescent="0.4">
      <c r="A411" s="97" t="s">
        <v>399</v>
      </c>
      <c r="B411" s="46" t="s">
        <v>110</v>
      </c>
      <c r="C411" s="46" t="s">
        <v>0</v>
      </c>
      <c r="D411" s="99" t="s">
        <v>421</v>
      </c>
      <c r="E411" s="96" t="str">
        <f>IF('National currencies'!E411="","",'National currencies'!E411)</f>
        <v>5.3</v>
      </c>
      <c r="F411" s="66">
        <f>'National currencies'!F411/'Exchange rates'!B12</f>
        <v>4382.8411767928565</v>
      </c>
      <c r="G411" s="65">
        <f>'National currencies'!G411/'Exchange rates'!B12</f>
        <v>876.5682353585712</v>
      </c>
      <c r="H411" s="66">
        <f>'National currencies'!H411/'Exchange rates'!B12</f>
        <v>219.1420588396428</v>
      </c>
      <c r="I411" s="48">
        <f>'National currencies'!I411/'Exchange rates'!B12</f>
        <v>821.78272064866053</v>
      </c>
      <c r="J411" s="48">
        <f>'National currencies'!J411/'Exchange rates'!B12</f>
        <v>4382.8411767928565</v>
      </c>
      <c r="K411" s="61"/>
      <c r="L411" s="220"/>
      <c r="M411" s="62" t="str">
        <f>IF(ISBLANK(L411),"",IF(O2=0,0,M2))</f>
        <v/>
      </c>
      <c r="N411" s="49" t="str">
        <f>IF(ISBLANK(L411),"",IF(O2=0,0,N2))</f>
        <v/>
      </c>
      <c r="O411" s="63" t="str">
        <f>IF(ISBLANK(L411),"",O2)</f>
        <v/>
      </c>
      <c r="P411" s="69" t="str">
        <f>IF(ISBLANK(L411),"",IF(M411=0,0,IF(L411=1,H411+(M411-1)*H411,(H411+(L411-1)*G407)+(H411+(L411-1)*G407)*(M411-1))))</f>
        <v/>
      </c>
      <c r="Q411" s="70" t="str">
        <f>IF(ISBLANK(L411),"",IF(N411=0,0,IF(L411=1,I411+(N411-1)*I411,(I411+(L411-1)*G408)+(I411+(L411-1)*G408)*(N411-1))))</f>
        <v/>
      </c>
      <c r="R411" s="71" t="str">
        <f t="shared" si="12"/>
        <v/>
      </c>
      <c r="S411" s="64" t="str">
        <f t="shared" si="13"/>
        <v/>
      </c>
    </row>
    <row r="412" spans="1:19" x14ac:dyDescent="0.4">
      <c r="A412" s="97" t="s">
        <v>399</v>
      </c>
      <c r="B412" s="46" t="s">
        <v>110</v>
      </c>
      <c r="C412" s="46" t="s">
        <v>0</v>
      </c>
      <c r="D412" s="99" t="s">
        <v>420</v>
      </c>
      <c r="E412" s="96" t="str">
        <f>IF('National currencies'!E412="","",'National currencies'!E412)</f>
        <v>5.4</v>
      </c>
      <c r="F412" s="66">
        <f>'National currencies'!F412/'Exchange rates'!B12</f>
        <v>3834.9860296937491</v>
      </c>
      <c r="G412" s="65">
        <f>'National currencies'!G412/'Exchange rates'!B12</f>
        <v>766.99720593874986</v>
      </c>
      <c r="H412" s="66">
        <f>'National currencies'!H412/'Exchange rates'!B12</f>
        <v>219.1420588396428</v>
      </c>
      <c r="I412" s="48">
        <f>'National currencies'!I412/'Exchange rates'!B12</f>
        <v>821.78272064866053</v>
      </c>
      <c r="J412" s="48">
        <f>'National currencies'!J412/'Exchange rates'!B12</f>
        <v>3834.9860296937491</v>
      </c>
      <c r="K412" s="61"/>
      <c r="L412" s="220"/>
      <c r="M412" s="62" t="str">
        <f>IF(ISBLANK(L412),"",IF(O2=0,0,M2))</f>
        <v/>
      </c>
      <c r="N412" s="49" t="str">
        <f>IF(ISBLANK(L412),"",IF(O2=0,0,N2))</f>
        <v/>
      </c>
      <c r="O412" s="63" t="str">
        <f>IF(ISBLANK(L412),"",O2)</f>
        <v/>
      </c>
      <c r="P412" s="69" t="str">
        <f>IF(ISBLANK(L412),"",IF(M412=0,0,IF(L412=1,H412+(M412-1)*H412,(H412+(L412-1)*G407)+(H412+(L412-1)*G407)*(M412-1))))</f>
        <v/>
      </c>
      <c r="Q412" s="70" t="str">
        <f>IF(ISBLANK(L412),"",IF(N412=0,0,IF(L412=1,I412+(N412-1)*I412,(I412+(L412-1)*G408)+(I412+(L412-1)*G408)*(N412-1))))</f>
        <v/>
      </c>
      <c r="R412" s="71" t="str">
        <f t="shared" si="12"/>
        <v/>
      </c>
      <c r="S412" s="64" t="str">
        <f t="shared" si="13"/>
        <v/>
      </c>
    </row>
    <row r="413" spans="1:19" x14ac:dyDescent="0.4">
      <c r="A413" s="97" t="s">
        <v>399</v>
      </c>
      <c r="B413" s="46" t="s">
        <v>110</v>
      </c>
      <c r="C413" s="46" t="s">
        <v>0</v>
      </c>
      <c r="D413" s="99" t="s">
        <v>422</v>
      </c>
      <c r="E413" s="96" t="str">
        <f>IF('National currencies'!E413="","",'National currencies'!E413)</f>
        <v>5.5</v>
      </c>
      <c r="F413" s="66">
        <f>'National currencies'!F413/'Exchange rates'!B12</f>
        <v>5478.5514709910703</v>
      </c>
      <c r="G413" s="65">
        <f>'National currencies'!G413/'Exchange rates'!B12</f>
        <v>1095.7102941982141</v>
      </c>
      <c r="H413" s="66">
        <f>'National currencies'!H413/'Exchange rates'!B12</f>
        <v>219.1420588396428</v>
      </c>
      <c r="I413" s="48">
        <f>'National currencies'!I413/'Exchange rates'!B12</f>
        <v>821.78272064866053</v>
      </c>
      <c r="J413" s="48">
        <f>'National currencies'!J413/'Exchange rates'!B12</f>
        <v>5478.5514709910703</v>
      </c>
      <c r="K413" s="61"/>
      <c r="L413" s="220"/>
      <c r="M413" s="62" t="str">
        <f>IF(ISBLANK(L413),"",IF(O2=0,0,M2))</f>
        <v/>
      </c>
      <c r="N413" s="49" t="str">
        <f>IF(ISBLANK(L413),"",IF(O2=0,0,N2))</f>
        <v/>
      </c>
      <c r="O413" s="63" t="str">
        <f>IF(ISBLANK(L413),"",O2)</f>
        <v/>
      </c>
      <c r="P413" s="69" t="str">
        <f>IF(ISBLANK(L413),"",IF(M413=0,0,IF(L413=1,H413+(M413-1)*H413,(H413+(L413-1)*G407)+(H413+(L413-1)*G407)*(M413-1))))</f>
        <v/>
      </c>
      <c r="Q413" s="70" t="str">
        <f>IF(ISBLANK(L413),"",IF(N413=0,0,IF(L413=1,I413+(N413-1)*I413,(I413+(L413-1)*G408)+(I413+(L413-1)*G408)*(N413-1))))</f>
        <v/>
      </c>
      <c r="R413" s="71" t="str">
        <f t="shared" si="12"/>
        <v/>
      </c>
      <c r="S413" s="64" t="str">
        <f t="shared" si="13"/>
        <v/>
      </c>
    </row>
    <row r="414" spans="1:19" x14ac:dyDescent="0.4">
      <c r="A414" s="97" t="s">
        <v>399</v>
      </c>
      <c r="B414" s="46" t="s">
        <v>110</v>
      </c>
      <c r="C414" s="46" t="s">
        <v>0</v>
      </c>
      <c r="D414" s="99" t="s">
        <v>417</v>
      </c>
      <c r="E414" s="96" t="str">
        <f>IF('National currencies'!E414="","",'National currencies'!E414)</f>
        <v>5.5</v>
      </c>
      <c r="F414" s="66">
        <f>'National currencies'!F414/'Exchange rates'!B12</f>
        <v>5478.5514709910703</v>
      </c>
      <c r="G414" s="65">
        <f>'National currencies'!G414/'Exchange rates'!B12</f>
        <v>1095.7102941982141</v>
      </c>
      <c r="H414" s="66">
        <f>'National currencies'!H414/'Exchange rates'!B12</f>
        <v>219.1420588396428</v>
      </c>
      <c r="I414" s="48">
        <f>'National currencies'!I414/'Exchange rates'!B12</f>
        <v>821.78272064866053</v>
      </c>
      <c r="J414" s="48">
        <f>'National currencies'!J414/'Exchange rates'!B12</f>
        <v>5478.5514709910703</v>
      </c>
      <c r="K414" s="61"/>
      <c r="L414" s="220"/>
      <c r="M414" s="62" t="str">
        <f>IF(ISBLANK(L414),"",IF(O2=0,0,M2))</f>
        <v/>
      </c>
      <c r="N414" s="49" t="str">
        <f>IF(ISBLANK(L414),"",IF(O2=0,0,N2))</f>
        <v/>
      </c>
      <c r="O414" s="63" t="str">
        <f>IF(ISBLANK(L414),"",O2)</f>
        <v/>
      </c>
      <c r="P414" s="69" t="str">
        <f>IF(ISBLANK(L414),"",IF(M414=0,0,IF(L414=1,H414+(M414-1)*H414,(H414+(L414-1)*G407)+(H414+(L414-1)*G407)*(M414-1))))</f>
        <v/>
      </c>
      <c r="Q414" s="70" t="str">
        <f>IF(ISBLANK(L414),"",IF(N414=0,0,IF(L414=1,I414+(N414-1)*I414,(I414+(L414-1)*G408)+(I414+(L414-1)*G408)*(N414-1))))</f>
        <v/>
      </c>
      <c r="R414" s="71" t="str">
        <f t="shared" si="12"/>
        <v/>
      </c>
      <c r="S414" s="64" t="str">
        <f t="shared" si="13"/>
        <v/>
      </c>
    </row>
    <row r="415" spans="1:19" x14ac:dyDescent="0.4">
      <c r="A415" s="97" t="s">
        <v>416</v>
      </c>
      <c r="B415" s="100" t="s">
        <v>108</v>
      </c>
      <c r="C415" s="100" t="s">
        <v>415</v>
      </c>
      <c r="D415" s="98"/>
      <c r="E415" s="96" t="str">
        <f>IF('National currencies'!E415="","",'National currencies'!E415)</f>
        <v/>
      </c>
      <c r="F415" s="66">
        <f>'National currencies'!F415</f>
        <v>0</v>
      </c>
      <c r="G415" s="65">
        <f>'National currencies'!G415</f>
        <v>0</v>
      </c>
      <c r="H415" s="66">
        <f>'National currencies'!H415</f>
        <v>0</v>
      </c>
      <c r="I415" s="48"/>
      <c r="J415" s="48"/>
      <c r="K415" s="61"/>
      <c r="L415" s="220"/>
      <c r="M415" s="62" t="str">
        <f>IF(ISBLANK(L415),"",IF((N2+O2)&gt;0,0,M2))</f>
        <v/>
      </c>
      <c r="N415" s="49"/>
      <c r="O415" s="63"/>
      <c r="P415" s="69" t="str">
        <f>IF(ISBLANK(L415),"",IF(M415=0,0,IF(L415=1,F415+(M415-1)*H415,(F415+(L415-1)*G415)+(H415+(L415-1)*G415)*(M415-1))))</f>
        <v/>
      </c>
      <c r="Q415" s="70"/>
      <c r="R415" s="71"/>
      <c r="S415" s="64" t="str">
        <f>IF(ISBLANK(L415),"",IF(M415=0,"",P415))</f>
        <v/>
      </c>
    </row>
    <row r="416" spans="1:19" x14ac:dyDescent="0.4">
      <c r="A416" s="97" t="s">
        <v>416</v>
      </c>
      <c r="B416" s="100" t="s">
        <v>109</v>
      </c>
      <c r="C416" s="100" t="s">
        <v>415</v>
      </c>
      <c r="D416" s="99"/>
      <c r="E416" s="96" t="str">
        <f>IF('National currencies'!E416="","",'National currencies'!E416)</f>
        <v/>
      </c>
      <c r="F416" s="66">
        <f>'National currencies'!F416</f>
        <v>0</v>
      </c>
      <c r="G416" s="65">
        <f>'National currencies'!G416</f>
        <v>0</v>
      </c>
      <c r="H416" s="66">
        <f>'National currencies'!H416</f>
        <v>0</v>
      </c>
      <c r="I416" s="48">
        <f>'National currencies'!I416</f>
        <v>0</v>
      </c>
      <c r="J416" s="48"/>
      <c r="K416" s="61"/>
      <c r="L416" s="220"/>
      <c r="M416" s="62" t="str">
        <f>IF(ISBLANK(L416),"",IF(O2&gt;0,0,IF(N2=0,0,M2)))</f>
        <v/>
      </c>
      <c r="N416" s="49" t="str">
        <f>IF(ISBLANK(L416),"",IF(O2&gt;0,0,N2))</f>
        <v/>
      </c>
      <c r="O416" s="63" t="str">
        <f>IF(ISBLANK(L416),"",O335)</f>
        <v/>
      </c>
      <c r="P416" s="69" t="str">
        <f>IF(ISBLANK(L416),"",IF(M416=0,0,IF(L416=1,H416+(M416-1)*H416,(H416+(L416-1)*G415)+(H416+(L416-1)*G415)*(M416-1))))</f>
        <v/>
      </c>
      <c r="Q416" s="70" t="str">
        <f>IF(ISBLANK(L416),"",IF(N416=0,0,IF(L416=1,F416+(N416-1)*I416,(F416+(L416-1)*G416)+(I416+(L416-1)*G416)*(N416-1))))</f>
        <v/>
      </c>
      <c r="R416" s="71"/>
      <c r="S416" s="64" t="str">
        <f>IF(ISBLANK(L416),"",IF(N416=0,"",P416+Q416))</f>
        <v/>
      </c>
    </row>
    <row r="417" spans="1:19" x14ac:dyDescent="0.4">
      <c r="A417" s="97" t="s">
        <v>416</v>
      </c>
      <c r="B417" s="100" t="s">
        <v>110</v>
      </c>
      <c r="C417" s="100" t="s">
        <v>415</v>
      </c>
      <c r="D417" s="99" t="str">
        <f>'National currencies'!D417</f>
        <v>new or modification of indication</v>
      </c>
      <c r="E417" s="96" t="str">
        <f>IF('National currencies'!E417="","",'National currencies'!E417)</f>
        <v>5.1</v>
      </c>
      <c r="F417" s="66">
        <f>'National currencies'!F417</f>
        <v>163200</v>
      </c>
      <c r="G417" s="65">
        <f>'National currencies'!G417</f>
        <v>0</v>
      </c>
      <c r="H417" s="66">
        <f>'National currencies'!H417</f>
        <v>0</v>
      </c>
      <c r="I417" s="48">
        <f>'National currencies'!I417</f>
        <v>0</v>
      </c>
      <c r="J417" s="48">
        <f>'National currencies'!J417</f>
        <v>22000</v>
      </c>
      <c r="K417" s="61"/>
      <c r="L417" s="220"/>
      <c r="M417" s="62" t="str">
        <f>IF(ISBLANK(L417),"",IF(O2=0,0,M2))</f>
        <v/>
      </c>
      <c r="N417" s="49" t="str">
        <f>IF(ISBLANK(L417),"",IF(O2=0,0,N2))</f>
        <v/>
      </c>
      <c r="O417" s="63" t="str">
        <f>IF(ISBLANK(L417),"",O2)</f>
        <v/>
      </c>
      <c r="P417" s="69" t="str">
        <f>IF(ISBLANK(L417),"",IF(M417=0,0,IF(L417=1,H417+(M417-1)*H417,(H417+(L417-1)*G415)+(H417+(L417-1)*G415)*(M417-1))))</f>
        <v/>
      </c>
      <c r="Q417" s="70" t="str">
        <f>IF(ISBLANK(L417),"",IF(N417=0,0,IF(L417=1,I417+(N417-1)*I417,(I417+(L417-1)*G416)+(I417+(L417-1)*G416)*(N417-1))))</f>
        <v/>
      </c>
      <c r="R417" s="71" t="str">
        <f>IF(ISBLANK(L417),"",IF(O417=0,0,IF(O417&lt;3,O417*F417,2*F417+(O417-2)*J417)))</f>
        <v/>
      </c>
      <c r="S417" s="64" t="str">
        <f>IF(ISBLANK(L417),"",IF(O417=0,"",P417+Q417+R417))</f>
        <v/>
      </c>
    </row>
    <row r="418" spans="1:19" x14ac:dyDescent="0.4">
      <c r="A418" s="97" t="s">
        <v>416</v>
      </c>
      <c r="B418" s="100" t="s">
        <v>110</v>
      </c>
      <c r="C418" s="100" t="s">
        <v>415</v>
      </c>
      <c r="D418" s="99" t="str">
        <f>'National currencies'!D418</f>
        <v>not covered by point 5.1</v>
      </c>
      <c r="E418" s="96" t="str">
        <f>IF('National currencies'!E418="","",'National currencies'!E418)</f>
        <v>5.2</v>
      </c>
      <c r="F418" s="66">
        <f>'National currencies'!F418</f>
        <v>22000</v>
      </c>
      <c r="G418" s="65">
        <f>'National currencies'!G418</f>
        <v>0</v>
      </c>
      <c r="H418" s="66">
        <f>'National currencies'!H418</f>
        <v>0</v>
      </c>
      <c r="I418" s="48">
        <f>'National currencies'!I418</f>
        <v>0</v>
      </c>
      <c r="J418" s="48">
        <f>'National currencies'!J418</f>
        <v>22000</v>
      </c>
      <c r="K418" s="61"/>
      <c r="L418" s="220"/>
      <c r="M418" s="62" t="str">
        <f>IF(ISBLANK(L418),"",IF(O2=0,0,M2))</f>
        <v/>
      </c>
      <c r="N418" s="49" t="str">
        <f>IF(ISBLANK(L418),"",IF(O2=0,0,N2))</f>
        <v/>
      </c>
      <c r="O418" s="63" t="str">
        <f>IF(ISBLANK(L418),"",O2)</f>
        <v/>
      </c>
      <c r="P418" s="69" t="str">
        <f>IF(ISBLANK(L418),"",IF(M418=0,0,IF(L418=1,H418+(M418-1)*H418,(H418+(L418-1)*G415)+(H418+(L418-1)*G415)*(M418-1))))</f>
        <v/>
      </c>
      <c r="Q418" s="70" t="str">
        <f>IF(ISBLANK(L418),"",IF(N418=0,0,IF(L418=1,I418+(N418-1)*I418,(I418+(L418-1)*G416)+(I418+(L418-1)*G416)*(N418-1))))</f>
        <v/>
      </c>
      <c r="R418" s="71" t="str">
        <f>IF(ISBLANK(L418),"",IF(O418=0,0,IF(O418&lt;3,O418*F418,2*F418+(O418-2)*J418)))</f>
        <v/>
      </c>
      <c r="S418" s="64" t="str">
        <f>IF(ISBLANK(L418),"",IF(O418=0,"",P418+Q418+R418))</f>
        <v/>
      </c>
    </row>
    <row r="419" spans="1:19" x14ac:dyDescent="0.4">
      <c r="L419" s="106"/>
    </row>
  </sheetData>
  <sheetProtection algorithmName="SHA-512" hashValue="qmAMj4Pqmwn1436Tm+bAHFSALPY29teqfgB7Xo8SjPFa3j7nTo62FUstDPojNTBXbn3Ok82X44lQcOJS1Bxw+A==" saltValue="k9LvD2Mdteiq0RfxT9/+aQ==" spinCount="100000" sheet="1" selectLockedCells="1" autoFilter="0"/>
  <phoneticPr fontId="4" type="noConversion"/>
  <conditionalFormatting sqref="P4:R418">
    <cfRule type="expression" dxfId="0" priority="1">
      <formula>($P4+$Q4+$R4)&gt;$S4</formula>
    </cfRule>
  </conditionalFormatting>
  <hyperlinks>
    <hyperlink ref="D230" location="IE!A1" display="complex - reduced rate" xr:uid="{00000000-0004-0000-0000-000000000000}"/>
    <hyperlink ref="D228" location="IE!A1" display="standard - reduced rate" xr:uid="{00000000-0004-0000-0000-000001000000}"/>
    <hyperlink ref="D226" location="IE!A1" display="reduced rate" xr:uid="{00000000-0004-0000-0000-000002000000}"/>
    <hyperlink ref="D223" location="IE!A1" display="complex - reduced rate" xr:uid="{00000000-0004-0000-0000-000003000000}"/>
    <hyperlink ref="D221" location="IE!A1" display="standard - reduced rate" xr:uid="{00000000-0004-0000-0000-000004000000}"/>
    <hyperlink ref="D229" location="IE!A1" display="complex" xr:uid="{00000000-0004-0000-0000-000005000000}"/>
    <hyperlink ref="D222" location="IE!A1" display="complex" xr:uid="{00000000-0004-0000-0000-000006000000}"/>
    <hyperlink ref="D352" location="PT!A1" display="A.1, A.5 or A.7 (1 to 10 medicines)" xr:uid="{00000000-0004-0000-0000-000007000000}"/>
    <hyperlink ref="D351" location="PT!A1" display="A.1 or A.7" xr:uid="{00000000-0004-0000-0000-000008000000}"/>
    <hyperlink ref="D339" location="PL!A1" display="TSE CEP &amp; others" xr:uid="{00000000-0004-0000-0000-000009000000}"/>
    <hyperlink ref="D336" location="PL!A1" display="if CMS is not affected" xr:uid="{00000000-0004-0000-0000-00000A000000}"/>
    <hyperlink ref="D330" location="PL!A1" display="TSE CEP &amp; others" xr:uid="{00000000-0004-0000-0000-00000B000000}"/>
    <hyperlink ref="D263" location="LT!A1" display="new indication (and others)" xr:uid="{00000000-0004-0000-0000-00000C000000}"/>
    <hyperlink ref="D177" location="FR!A1" display="Type IA exemptions" xr:uid="{00000000-0004-0000-0000-00000D000000}"/>
    <hyperlink ref="D101" location="DK!A1" display="quality, complex (B or D)" xr:uid="{00000000-0004-0000-0000-00000E000000}"/>
    <hyperlink ref="D97" location="DK!A1" display="quality, complex (B or D)" xr:uid="{00000000-0004-0000-0000-00000F000000}"/>
    <hyperlink ref="D90" location="DK!A1" display="quality, complex (B or D)" xr:uid="{00000000-0004-0000-0000-000010000000}"/>
    <hyperlink ref="D86" location="DK!A1" display="quality, complex (B or D)" xr:uid="{00000000-0004-0000-0000-000011000000}"/>
    <hyperlink ref="D334" location="PL!A1" display="TSE CEP &amp; others" xr:uid="{00000000-0004-0000-0000-000012000000}"/>
    <hyperlink ref="D271" location="LT!A1" display="new indication (and others)" xr:uid="{00000000-0004-0000-0000-000013000000}"/>
    <hyperlink ref="D267" location="LT!A1" display="new indication (and others)" xr:uid="{00000000-0004-0000-0000-000014000000}"/>
    <hyperlink ref="D112" location="DK!A1" display="quality, complex (B or D)" xr:uid="{00000000-0004-0000-0000-000015000000}"/>
    <hyperlink ref="D108" location="DK!A1" display="quality, complex (B or D)" xr:uid="{00000000-0004-0000-0000-000016000000}"/>
    <hyperlink ref="D187" location="FR!A1" display="Type IA exemptions" xr:uid="{00000000-0004-0000-0000-000017000000}"/>
    <hyperlink ref="D182" location="FR!A1" display="Type IA exemptions" xr:uid="{00000000-0004-0000-0000-000018000000}"/>
    <hyperlink ref="D219" location="IE!A1" display="reduced rate (CMS IE not affected)" xr:uid="{00000000-0004-0000-0000-000019000000}"/>
    <hyperlink ref="D254" location="IT!A1" display="reduced" xr:uid="{00000000-0004-0000-0000-00001A000000}"/>
    <hyperlink ref="D258" location="IT!A1" display="reduced" xr:uid="{00000000-0004-0000-0000-00001B000000}"/>
    <hyperlink ref="D250" location="IT!A1" display="reduced" xr:uid="{00000000-0004-0000-0000-00001C000000}"/>
  </hyperlinks>
  <pageMargins left="0.70866141732283472" right="0.70866141732283472" top="0.74803149606299213" bottom="0.74803149606299213" header="0.31496062992125984" footer="0.31496062992125984"/>
  <pageSetup paperSize="9" scale="4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theme="5" tint="-0.249977111117893"/>
  </sheetPr>
  <dimension ref="A1:E34"/>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5.53515625" style="1" customWidth="1"/>
    <col min="2" max="2" width="45.07421875" style="2" customWidth="1"/>
    <col min="3" max="3" width="41" style="2" customWidth="1"/>
    <col min="4" max="4" width="41.07421875" style="2" customWidth="1"/>
    <col min="5" max="16384" width="11.4609375" style="3"/>
  </cols>
  <sheetData>
    <row r="1" spans="1:5" ht="33.75" customHeight="1" x14ac:dyDescent="0.4">
      <c r="A1" s="92" t="s">
        <v>378</v>
      </c>
      <c r="B1" s="93"/>
    </row>
    <row r="2" spans="1:5" x14ac:dyDescent="0.4">
      <c r="A2" s="2" t="s">
        <v>114</v>
      </c>
      <c r="B2" s="2" t="s">
        <v>388</v>
      </c>
      <c r="E2" s="2"/>
    </row>
    <row r="3" spans="1:5" x14ac:dyDescent="0.4">
      <c r="A3" s="35" t="s">
        <v>387</v>
      </c>
      <c r="B3" s="35"/>
      <c r="E3" s="2"/>
    </row>
    <row r="4" spans="1:5" x14ac:dyDescent="0.4">
      <c r="A4" s="35" t="s">
        <v>178</v>
      </c>
      <c r="B4" s="35"/>
      <c r="E4" s="2"/>
    </row>
    <row r="5" spans="1:5" x14ac:dyDescent="0.4">
      <c r="A5" s="35" t="s">
        <v>177</v>
      </c>
      <c r="B5" s="35"/>
      <c r="E5" s="2"/>
    </row>
    <row r="6" spans="1:5" x14ac:dyDescent="0.4">
      <c r="A6" s="35" t="s">
        <v>176</v>
      </c>
      <c r="B6" s="35"/>
      <c r="E6" s="2"/>
    </row>
    <row r="7" spans="1:5" x14ac:dyDescent="0.4">
      <c r="A7" s="35" t="s">
        <v>175</v>
      </c>
      <c r="B7" s="35"/>
      <c r="E7" s="2"/>
    </row>
    <row r="8" spans="1:5" x14ac:dyDescent="0.4">
      <c r="A8" s="35" t="s">
        <v>174</v>
      </c>
      <c r="B8" s="35"/>
      <c r="E8" s="2"/>
    </row>
    <row r="9" spans="1:5" x14ac:dyDescent="0.4">
      <c r="A9" s="35" t="s">
        <v>173</v>
      </c>
      <c r="B9" s="35"/>
      <c r="E9" s="2"/>
    </row>
    <row r="10" spans="1:5" x14ac:dyDescent="0.4">
      <c r="A10" s="35" t="s">
        <v>172</v>
      </c>
      <c r="B10" s="35"/>
      <c r="E10" s="2"/>
    </row>
    <row r="11" spans="1:5" x14ac:dyDescent="0.4">
      <c r="A11" s="35" t="s">
        <v>171</v>
      </c>
      <c r="B11" s="35"/>
      <c r="E11" s="2"/>
    </row>
    <row r="12" spans="1:5" x14ac:dyDescent="0.4">
      <c r="A12" s="35" t="s">
        <v>170</v>
      </c>
      <c r="B12" s="35"/>
      <c r="E12" s="2"/>
    </row>
    <row r="13" spans="1:5" x14ac:dyDescent="0.4">
      <c r="A13" s="35" t="s">
        <v>169</v>
      </c>
      <c r="B13" s="35"/>
      <c r="E13" s="2"/>
    </row>
    <row r="14" spans="1:5" x14ac:dyDescent="0.4">
      <c r="A14" s="35" t="s">
        <v>167</v>
      </c>
      <c r="B14" s="35"/>
      <c r="E14" s="2"/>
    </row>
    <row r="15" spans="1:5" x14ac:dyDescent="0.4">
      <c r="A15" s="35" t="s">
        <v>168</v>
      </c>
      <c r="B15" s="35"/>
      <c r="E15" s="2"/>
    </row>
    <row r="16" spans="1:5" x14ac:dyDescent="0.4">
      <c r="A16" s="35" t="s">
        <v>166</v>
      </c>
      <c r="B16" s="35"/>
      <c r="E16" s="2"/>
    </row>
    <row r="17" spans="1:5" x14ac:dyDescent="0.4">
      <c r="A17" s="35" t="s">
        <v>165</v>
      </c>
      <c r="B17" s="35"/>
      <c r="E17" s="2"/>
    </row>
    <row r="18" spans="1:5" x14ac:dyDescent="0.4">
      <c r="A18" s="35" t="s">
        <v>164</v>
      </c>
      <c r="B18" s="35"/>
      <c r="E18" s="2"/>
    </row>
    <row r="19" spans="1:5" x14ac:dyDescent="0.4">
      <c r="A19" s="35" t="s">
        <v>158</v>
      </c>
      <c r="B19" s="35"/>
      <c r="E19" s="2"/>
    </row>
    <row r="20" spans="1:5" x14ac:dyDescent="0.4">
      <c r="A20" s="35" t="s">
        <v>159</v>
      </c>
      <c r="B20" s="35"/>
      <c r="E20" s="2"/>
    </row>
    <row r="21" spans="1:5" x14ac:dyDescent="0.4">
      <c r="A21" s="35" t="s">
        <v>160</v>
      </c>
      <c r="B21" s="35"/>
      <c r="E21" s="2"/>
    </row>
    <row r="22" spans="1:5" x14ac:dyDescent="0.4">
      <c r="A22" s="35" t="s">
        <v>161</v>
      </c>
      <c r="B22" s="35"/>
      <c r="E22" s="2"/>
    </row>
    <row r="23" spans="1:5" x14ac:dyDescent="0.4">
      <c r="A23" s="35" t="s">
        <v>162</v>
      </c>
      <c r="B23" s="35"/>
      <c r="E23" s="2"/>
    </row>
    <row r="24" spans="1:5" x14ac:dyDescent="0.4">
      <c r="A24" s="35" t="s">
        <v>163</v>
      </c>
      <c r="B24" s="35"/>
      <c r="E24" s="2"/>
    </row>
    <row r="25" spans="1:5" x14ac:dyDescent="0.4">
      <c r="A25" s="35" t="s">
        <v>157</v>
      </c>
      <c r="B25" s="35"/>
      <c r="E25" s="2"/>
    </row>
    <row r="26" spans="1:5" x14ac:dyDescent="0.4">
      <c r="A26" s="35" t="s">
        <v>156</v>
      </c>
      <c r="B26" s="35"/>
      <c r="E26" s="2"/>
    </row>
    <row r="27" spans="1:5" x14ac:dyDescent="0.4">
      <c r="A27" s="35" t="s">
        <v>155</v>
      </c>
      <c r="B27" s="35"/>
      <c r="E27" s="2"/>
    </row>
    <row r="28" spans="1:5" x14ac:dyDescent="0.4">
      <c r="A28" s="35" t="s">
        <v>154</v>
      </c>
      <c r="B28" s="35"/>
      <c r="E28" s="2"/>
    </row>
    <row r="29" spans="1:5" x14ac:dyDescent="0.4">
      <c r="A29" s="35" t="s">
        <v>153</v>
      </c>
      <c r="B29" s="35"/>
      <c r="E29" s="2"/>
    </row>
    <row r="30" spans="1:5" x14ac:dyDescent="0.4">
      <c r="A30" s="35" t="s">
        <v>150</v>
      </c>
      <c r="B30" s="35"/>
      <c r="E30" s="2"/>
    </row>
    <row r="31" spans="1:5" x14ac:dyDescent="0.4">
      <c r="A31" s="35" t="s">
        <v>151</v>
      </c>
      <c r="B31" s="35"/>
      <c r="E31" s="2"/>
    </row>
    <row r="32" spans="1:5" x14ac:dyDescent="0.4">
      <c r="A32" s="35" t="s">
        <v>152</v>
      </c>
      <c r="B32" s="35"/>
      <c r="E32" s="2"/>
    </row>
    <row r="33" spans="1:5" x14ac:dyDescent="0.4">
      <c r="A33" s="35" t="s">
        <v>149</v>
      </c>
      <c r="B33" s="35"/>
      <c r="E33" s="2"/>
    </row>
    <row r="34" spans="1:5" x14ac:dyDescent="0.4">
      <c r="A34" s="35" t="s">
        <v>148</v>
      </c>
      <c r="B34" s="35"/>
      <c r="E34" s="2"/>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tabColor theme="5" tint="-0.249977111117893"/>
  </sheetPr>
  <dimension ref="A1:D35"/>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9.84375" style="1" customWidth="1"/>
    <col min="2" max="2" width="90.69140625" style="2" customWidth="1"/>
    <col min="3" max="3" width="41" style="2" customWidth="1"/>
    <col min="4" max="4" width="41.07421875" style="2" customWidth="1"/>
    <col min="5" max="16384" width="11.4609375" style="3"/>
  </cols>
  <sheetData>
    <row r="1" spans="1:2" ht="37.5" customHeight="1" x14ac:dyDescent="0.4">
      <c r="A1" s="90" t="s">
        <v>379</v>
      </c>
      <c r="B1" s="94"/>
    </row>
    <row r="2" spans="1:2" x14ac:dyDescent="0.4">
      <c r="A2" s="40" t="s">
        <v>114</v>
      </c>
      <c r="B2" s="41" t="s">
        <v>210</v>
      </c>
    </row>
    <row r="3" spans="1:2" x14ac:dyDescent="0.4">
      <c r="A3" s="37" t="s">
        <v>180</v>
      </c>
      <c r="B3" s="38"/>
    </row>
    <row r="4" spans="1:2" ht="29.15" x14ac:dyDescent="0.4">
      <c r="A4" s="39" t="s">
        <v>188</v>
      </c>
      <c r="B4" s="31" t="s">
        <v>181</v>
      </c>
    </row>
    <row r="5" spans="1:2" x14ac:dyDescent="0.4">
      <c r="A5" s="39" t="s">
        <v>186</v>
      </c>
      <c r="B5" s="31" t="s">
        <v>182</v>
      </c>
    </row>
    <row r="6" spans="1:2" ht="29.15" x14ac:dyDescent="0.4">
      <c r="A6" s="39" t="s">
        <v>187</v>
      </c>
      <c r="B6" s="31" t="s">
        <v>189</v>
      </c>
    </row>
    <row r="7" spans="1:2" x14ac:dyDescent="0.4">
      <c r="A7" s="39"/>
      <c r="B7" s="31"/>
    </row>
    <row r="8" spans="1:2" x14ac:dyDescent="0.4">
      <c r="A8" s="37" t="s">
        <v>183</v>
      </c>
      <c r="B8" s="31"/>
    </row>
    <row r="9" spans="1:2" x14ac:dyDescent="0.4">
      <c r="A9" s="39" t="s">
        <v>187</v>
      </c>
      <c r="B9" s="31" t="s">
        <v>190</v>
      </c>
    </row>
    <row r="10" spans="1:2" ht="29.15" x14ac:dyDescent="0.4">
      <c r="A10" s="39" t="s">
        <v>192</v>
      </c>
      <c r="B10" s="31" t="s">
        <v>185</v>
      </c>
    </row>
    <row r="11" spans="1:2" ht="43.75" x14ac:dyDescent="0.4">
      <c r="A11" s="39" t="s">
        <v>191</v>
      </c>
      <c r="B11" s="31" t="s">
        <v>184</v>
      </c>
    </row>
    <row r="12" spans="1:2" x14ac:dyDescent="0.4">
      <c r="A12" s="2"/>
    </row>
    <row r="13" spans="1:2" x14ac:dyDescent="0.4">
      <c r="A13" s="2"/>
    </row>
    <row r="14" spans="1:2" x14ac:dyDescent="0.4">
      <c r="A14" s="2"/>
    </row>
    <row r="15" spans="1:2" x14ac:dyDescent="0.4">
      <c r="A15" s="2"/>
    </row>
    <row r="16" spans="1:2" x14ac:dyDescent="0.4">
      <c r="A16" s="2"/>
    </row>
    <row r="17" spans="1:1" x14ac:dyDescent="0.4">
      <c r="A17" s="2"/>
    </row>
    <row r="18" spans="1:1" s="2" customFormat="1" x14ac:dyDescent="0.4"/>
    <row r="19" spans="1:1" s="2" customFormat="1" x14ac:dyDescent="0.4"/>
    <row r="20" spans="1:1" s="2" customFormat="1" x14ac:dyDescent="0.4"/>
    <row r="21" spans="1:1" s="2" customFormat="1" x14ac:dyDescent="0.4"/>
    <row r="22" spans="1:1" s="2" customFormat="1" x14ac:dyDescent="0.4"/>
    <row r="23" spans="1:1" s="2" customFormat="1" x14ac:dyDescent="0.4"/>
    <row r="24" spans="1:1" s="2" customFormat="1" x14ac:dyDescent="0.4"/>
    <row r="25" spans="1:1" s="2" customFormat="1" x14ac:dyDescent="0.4"/>
    <row r="26" spans="1:1" s="2" customFormat="1" x14ac:dyDescent="0.4"/>
    <row r="27" spans="1:1" s="2" customFormat="1" x14ac:dyDescent="0.4"/>
    <row r="28" spans="1:1" s="2" customFormat="1" x14ac:dyDescent="0.4"/>
    <row r="29" spans="1:1" s="2" customFormat="1" x14ac:dyDescent="0.4"/>
    <row r="30" spans="1:1" s="2" customFormat="1" x14ac:dyDescent="0.4"/>
    <row r="31" spans="1:1" s="2" customFormat="1" x14ac:dyDescent="0.4"/>
    <row r="32" spans="1:1" s="2" customFormat="1" x14ac:dyDescent="0.4"/>
    <row r="33" s="2" customFormat="1" x14ac:dyDescent="0.4"/>
    <row r="34" s="2" customFormat="1" x14ac:dyDescent="0.4"/>
    <row r="35" s="2" customFormat="1" x14ac:dyDescent="0.4"/>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theme="5" tint="-0.249977111117893"/>
  </sheetPr>
  <dimension ref="A1:D5"/>
  <sheetViews>
    <sheetView workbookViewId="0">
      <pane ySplit="1" topLeftCell="A2" activePane="bottomLeft" state="frozen"/>
      <selection activeCell="A8" sqref="A8"/>
      <selection pane="bottomLeft" activeCell="B5" sqref="B5"/>
    </sheetView>
  </sheetViews>
  <sheetFormatPr baseColWidth="10" defaultColWidth="11.4609375" defaultRowHeight="14.6" x14ac:dyDescent="0.4"/>
  <cols>
    <col min="1" max="1" width="27.53515625" style="1" customWidth="1"/>
    <col min="2" max="2" width="66" style="2" customWidth="1"/>
    <col min="3" max="3" width="24.84375" style="2" customWidth="1"/>
    <col min="4" max="4" width="37.4609375" style="2" customWidth="1"/>
    <col min="5" max="16384" width="11.4609375" style="3"/>
  </cols>
  <sheetData>
    <row r="1" spans="1:4" ht="35.25" customHeight="1" x14ac:dyDescent="0.4">
      <c r="A1" s="90" t="s">
        <v>380</v>
      </c>
      <c r="B1" s="91"/>
      <c r="C1" s="91"/>
      <c r="D1" s="91"/>
    </row>
    <row r="2" spans="1:4" x14ac:dyDescent="0.4">
      <c r="A2" s="42" t="s">
        <v>251</v>
      </c>
      <c r="B2" s="43" t="s">
        <v>210</v>
      </c>
      <c r="C2" s="43" t="s">
        <v>238</v>
      </c>
      <c r="D2" s="44" t="s">
        <v>239</v>
      </c>
    </row>
    <row r="3" spans="1:4" ht="29.15" x14ac:dyDescent="0.4">
      <c r="A3" s="35" t="s">
        <v>245</v>
      </c>
      <c r="B3" s="31" t="s">
        <v>246</v>
      </c>
      <c r="C3" s="31" t="s">
        <v>247</v>
      </c>
      <c r="D3" s="31" t="s">
        <v>248</v>
      </c>
    </row>
    <row r="4" spans="1:4" ht="58.3" x14ac:dyDescent="0.4">
      <c r="A4" s="35" t="s">
        <v>241</v>
      </c>
      <c r="B4" s="31" t="s">
        <v>242</v>
      </c>
      <c r="C4" s="31" t="s">
        <v>249</v>
      </c>
      <c r="D4" s="31" t="s">
        <v>243</v>
      </c>
    </row>
    <row r="5" spans="1:4" ht="72.900000000000006" x14ac:dyDescent="0.4">
      <c r="A5" s="35" t="s">
        <v>237</v>
      </c>
      <c r="B5" s="31" t="s">
        <v>240</v>
      </c>
      <c r="C5" s="31" t="s">
        <v>244</v>
      </c>
      <c r="D5" s="31" t="s">
        <v>250</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9" tint="-0.499984740745262"/>
  </sheetPr>
  <dimension ref="B1:C70"/>
  <sheetViews>
    <sheetView zoomScaleNormal="100" workbookViewId="0">
      <selection activeCell="C8" sqref="C8"/>
    </sheetView>
  </sheetViews>
  <sheetFormatPr baseColWidth="10" defaultRowHeight="14.6" x14ac:dyDescent="0.4"/>
  <cols>
    <col min="1" max="1" width="65.3046875" customWidth="1"/>
    <col min="2" max="2" width="14.84375" style="203" customWidth="1"/>
    <col min="3" max="3" width="94.921875" style="203" customWidth="1"/>
    <col min="4" max="4" width="11.53515625"/>
  </cols>
  <sheetData>
    <row r="1" spans="2:3" x14ac:dyDescent="0.4">
      <c r="B1" s="204" t="s">
        <v>196</v>
      </c>
      <c r="C1" s="205" t="s">
        <v>393</v>
      </c>
    </row>
    <row r="2" spans="2:3" x14ac:dyDescent="0.4">
      <c r="B2" s="208">
        <v>46071</v>
      </c>
      <c r="C2" s="209" t="s">
        <v>1072</v>
      </c>
    </row>
    <row r="3" spans="2:3" x14ac:dyDescent="0.4">
      <c r="B3" s="208">
        <v>46048</v>
      </c>
      <c r="C3" s="209" t="s">
        <v>1068</v>
      </c>
    </row>
    <row r="4" spans="2:3" x14ac:dyDescent="0.4">
      <c r="B4" s="208">
        <v>46031</v>
      </c>
      <c r="C4" s="209" t="s">
        <v>1066</v>
      </c>
    </row>
    <row r="5" spans="2:3" x14ac:dyDescent="0.4">
      <c r="B5" s="208">
        <v>46027</v>
      </c>
      <c r="C5" s="203" t="s">
        <v>1069</v>
      </c>
    </row>
    <row r="6" spans="2:3" x14ac:dyDescent="0.4">
      <c r="B6" s="208">
        <v>45855</v>
      </c>
      <c r="C6" s="209" t="s">
        <v>901</v>
      </c>
    </row>
    <row r="7" spans="2:3" x14ac:dyDescent="0.4">
      <c r="B7" s="202">
        <v>45756</v>
      </c>
      <c r="C7" s="203" t="s">
        <v>462</v>
      </c>
    </row>
    <row r="8" spans="2:3" x14ac:dyDescent="0.4">
      <c r="B8" s="202">
        <v>45718</v>
      </c>
      <c r="C8" s="203" t="s">
        <v>897</v>
      </c>
    </row>
    <row r="9" spans="2:3" x14ac:dyDescent="0.4">
      <c r="B9" s="202">
        <v>45663</v>
      </c>
      <c r="C9" s="203" t="s">
        <v>730</v>
      </c>
    </row>
    <row r="10" spans="2:3" x14ac:dyDescent="0.4">
      <c r="B10" s="202">
        <v>45658</v>
      </c>
      <c r="C10" s="203" t="s">
        <v>516</v>
      </c>
    </row>
    <row r="11" spans="2:3" x14ac:dyDescent="0.4">
      <c r="B11" s="202">
        <v>45484</v>
      </c>
      <c r="C11" s="203" t="s">
        <v>724</v>
      </c>
    </row>
    <row r="12" spans="2:3" x14ac:dyDescent="0.4">
      <c r="B12" s="202">
        <v>45480</v>
      </c>
      <c r="C12" s="203" t="s">
        <v>710</v>
      </c>
    </row>
    <row r="13" spans="2:3" x14ac:dyDescent="0.4">
      <c r="B13" s="202">
        <v>45473</v>
      </c>
      <c r="C13" s="203" t="s">
        <v>383</v>
      </c>
    </row>
    <row r="14" spans="2:3" x14ac:dyDescent="0.4">
      <c r="B14" s="202">
        <v>45466</v>
      </c>
      <c r="C14" s="203" t="s">
        <v>529</v>
      </c>
    </row>
    <row r="15" spans="2:3" x14ac:dyDescent="0.4">
      <c r="B15" s="202">
        <v>45443</v>
      </c>
      <c r="C15" s="203" t="s">
        <v>473</v>
      </c>
    </row>
    <row r="16" spans="2:3" x14ac:dyDescent="0.4">
      <c r="B16" s="202">
        <v>45429</v>
      </c>
      <c r="C16" s="203" t="s">
        <v>525</v>
      </c>
    </row>
    <row r="17" spans="2:3" x14ac:dyDescent="0.4">
      <c r="B17" s="202">
        <v>45403</v>
      </c>
      <c r="C17" s="203" t="s">
        <v>524</v>
      </c>
    </row>
    <row r="18" spans="2:3" x14ac:dyDescent="0.4">
      <c r="B18" s="202">
        <v>45397</v>
      </c>
      <c r="C18" s="203" t="s">
        <v>523</v>
      </c>
    </row>
    <row r="19" spans="2:3" x14ac:dyDescent="0.4">
      <c r="B19" s="202">
        <v>45383</v>
      </c>
      <c r="C19" s="203" t="s">
        <v>471</v>
      </c>
    </row>
    <row r="20" spans="2:3" x14ac:dyDescent="0.4">
      <c r="B20" s="202">
        <v>45367</v>
      </c>
      <c r="C20" s="203" t="s">
        <v>522</v>
      </c>
    </row>
    <row r="21" spans="2:3" x14ac:dyDescent="0.4">
      <c r="B21" s="202">
        <v>45351</v>
      </c>
      <c r="C21" s="203" t="s">
        <v>520</v>
      </c>
    </row>
    <row r="22" spans="2:3" x14ac:dyDescent="0.4">
      <c r="B22" s="202">
        <v>45347</v>
      </c>
      <c r="C22" s="203" t="s">
        <v>519</v>
      </c>
    </row>
    <row r="23" spans="2:3" x14ac:dyDescent="0.4">
      <c r="B23" s="202">
        <v>45294</v>
      </c>
      <c r="C23" s="203" t="s">
        <v>516</v>
      </c>
    </row>
    <row r="24" spans="2:3" x14ac:dyDescent="0.4">
      <c r="B24" s="202">
        <v>45269</v>
      </c>
      <c r="C24" s="203" t="s">
        <v>515</v>
      </c>
    </row>
    <row r="25" spans="2:3" x14ac:dyDescent="0.4">
      <c r="B25" s="202">
        <v>45179</v>
      </c>
      <c r="C25" s="203" t="s">
        <v>514</v>
      </c>
    </row>
    <row r="26" spans="2:3" x14ac:dyDescent="0.4">
      <c r="B26" s="202">
        <v>45130</v>
      </c>
      <c r="C26" s="203" t="s">
        <v>513</v>
      </c>
    </row>
    <row r="27" spans="2:3" x14ac:dyDescent="0.4">
      <c r="B27" s="202">
        <v>45125</v>
      </c>
      <c r="C27" s="203" t="s">
        <v>512</v>
      </c>
    </row>
    <row r="28" spans="2:3" x14ac:dyDescent="0.4">
      <c r="B28" s="202">
        <v>45122</v>
      </c>
      <c r="C28" s="203" t="s">
        <v>506</v>
      </c>
    </row>
    <row r="29" spans="2:3" x14ac:dyDescent="0.4">
      <c r="B29" s="202">
        <v>45055</v>
      </c>
      <c r="C29" s="203" t="s">
        <v>491</v>
      </c>
    </row>
    <row r="30" spans="2:3" x14ac:dyDescent="0.4">
      <c r="B30" s="202">
        <v>45028</v>
      </c>
      <c r="C30" s="203" t="s">
        <v>489</v>
      </c>
    </row>
    <row r="31" spans="2:3" x14ac:dyDescent="0.4">
      <c r="B31" s="202">
        <v>45021</v>
      </c>
      <c r="C31" s="203" t="s">
        <v>488</v>
      </c>
    </row>
    <row r="32" spans="2:3" x14ac:dyDescent="0.4">
      <c r="B32" s="202">
        <v>44991</v>
      </c>
      <c r="C32" s="203" t="s">
        <v>487</v>
      </c>
    </row>
    <row r="33" spans="2:3" x14ac:dyDescent="0.4">
      <c r="B33" s="202">
        <v>44928</v>
      </c>
      <c r="C33" s="203" t="s">
        <v>483</v>
      </c>
    </row>
    <row r="34" spans="2:3" x14ac:dyDescent="0.4">
      <c r="B34" s="202">
        <v>44901</v>
      </c>
      <c r="C34" s="203" t="s">
        <v>478</v>
      </c>
    </row>
    <row r="35" spans="2:3" x14ac:dyDescent="0.4">
      <c r="B35" s="202">
        <v>44897</v>
      </c>
      <c r="C35" s="203" t="s">
        <v>477</v>
      </c>
    </row>
    <row r="36" spans="2:3" x14ac:dyDescent="0.4">
      <c r="B36" s="202">
        <v>44881</v>
      </c>
      <c r="C36" s="203" t="s">
        <v>475</v>
      </c>
    </row>
    <row r="37" spans="2:3" x14ac:dyDescent="0.4">
      <c r="B37" s="202">
        <v>44824</v>
      </c>
      <c r="C37" s="203" t="s">
        <v>474</v>
      </c>
    </row>
    <row r="38" spans="2:3" x14ac:dyDescent="0.4">
      <c r="B38" s="202">
        <v>44781</v>
      </c>
      <c r="C38" s="203" t="s">
        <v>473</v>
      </c>
    </row>
    <row r="39" spans="2:3" x14ac:dyDescent="0.4">
      <c r="B39" s="202">
        <v>44727</v>
      </c>
      <c r="C39" s="203" t="s">
        <v>472</v>
      </c>
    </row>
    <row r="40" spans="2:3" x14ac:dyDescent="0.4">
      <c r="B40" s="202">
        <v>44660</v>
      </c>
      <c r="C40" s="203" t="s">
        <v>471</v>
      </c>
    </row>
    <row r="41" spans="2:3" x14ac:dyDescent="0.4">
      <c r="B41" s="202">
        <v>44652</v>
      </c>
      <c r="C41" s="203" t="s">
        <v>470</v>
      </c>
    </row>
    <row r="42" spans="2:3" x14ac:dyDescent="0.4">
      <c r="B42" s="202">
        <v>44633</v>
      </c>
      <c r="C42" s="203" t="s">
        <v>469</v>
      </c>
    </row>
    <row r="43" spans="2:3" x14ac:dyDescent="0.4">
      <c r="B43" s="202">
        <v>44607</v>
      </c>
      <c r="C43" s="203" t="s">
        <v>468</v>
      </c>
    </row>
    <row r="44" spans="2:3" x14ac:dyDescent="0.4">
      <c r="B44" s="202">
        <v>44564</v>
      </c>
      <c r="C44" s="203" t="s">
        <v>465</v>
      </c>
    </row>
    <row r="45" spans="2:3" x14ac:dyDescent="0.4">
      <c r="B45" s="202">
        <v>44486</v>
      </c>
      <c r="C45" s="203" t="s">
        <v>383</v>
      </c>
    </row>
    <row r="46" spans="2:3" x14ac:dyDescent="0.4">
      <c r="B46" s="202">
        <v>44486</v>
      </c>
      <c r="C46" s="203" t="s">
        <v>465</v>
      </c>
    </row>
    <row r="47" spans="2:3" x14ac:dyDescent="0.4">
      <c r="B47" s="202">
        <v>44486</v>
      </c>
      <c r="C47" s="203" t="s">
        <v>462</v>
      </c>
    </row>
    <row r="48" spans="2:3" x14ac:dyDescent="0.4">
      <c r="B48" s="202">
        <v>44385</v>
      </c>
      <c r="C48" s="203" t="s">
        <v>460</v>
      </c>
    </row>
    <row r="49" spans="2:3" x14ac:dyDescent="0.4">
      <c r="B49" s="202">
        <v>44366</v>
      </c>
      <c r="C49" s="203" t="s">
        <v>383</v>
      </c>
    </row>
    <row r="50" spans="2:3" x14ac:dyDescent="0.4">
      <c r="B50" s="202">
        <v>44366</v>
      </c>
      <c r="C50" s="203" t="s">
        <v>465</v>
      </c>
    </row>
    <row r="51" spans="2:3" x14ac:dyDescent="0.4">
      <c r="B51" s="202">
        <v>44205</v>
      </c>
      <c r="C51" s="203" t="s">
        <v>383</v>
      </c>
    </row>
    <row r="52" spans="2:3" x14ac:dyDescent="0.4">
      <c r="B52" s="202">
        <v>44204</v>
      </c>
      <c r="C52" s="203" t="s">
        <v>466</v>
      </c>
    </row>
    <row r="53" spans="2:3" x14ac:dyDescent="0.4">
      <c r="B53" s="202">
        <v>44204</v>
      </c>
      <c r="C53" s="203" t="s">
        <v>465</v>
      </c>
    </row>
    <row r="54" spans="2:3" x14ac:dyDescent="0.4">
      <c r="B54" s="202">
        <v>44092</v>
      </c>
      <c r="C54" s="203" t="s">
        <v>383</v>
      </c>
    </row>
    <row r="55" spans="2:3" x14ac:dyDescent="0.4">
      <c r="B55" s="202">
        <v>44092</v>
      </c>
      <c r="C55" s="203" t="s">
        <v>447</v>
      </c>
    </row>
    <row r="56" spans="2:3" x14ac:dyDescent="0.4">
      <c r="B56" s="202">
        <v>43976</v>
      </c>
      <c r="C56" s="203" t="s">
        <v>447</v>
      </c>
    </row>
    <row r="57" spans="2:3" x14ac:dyDescent="0.4">
      <c r="B57" s="202">
        <v>43914</v>
      </c>
      <c r="C57" s="203" t="s">
        <v>443</v>
      </c>
    </row>
    <row r="58" spans="2:3" x14ac:dyDescent="0.4">
      <c r="B58" s="202">
        <v>43881</v>
      </c>
      <c r="C58" s="203" t="s">
        <v>439</v>
      </c>
    </row>
    <row r="59" spans="2:3" x14ac:dyDescent="0.4">
      <c r="B59" s="202">
        <v>43872</v>
      </c>
      <c r="C59" s="203" t="s">
        <v>431</v>
      </c>
    </row>
    <row r="60" spans="2:3" x14ac:dyDescent="0.4">
      <c r="B60" s="202">
        <v>43844</v>
      </c>
      <c r="C60" s="203" t="s">
        <v>383</v>
      </c>
    </row>
    <row r="61" spans="2:3" x14ac:dyDescent="0.4">
      <c r="B61" s="202">
        <v>43844</v>
      </c>
      <c r="C61" s="203" t="s">
        <v>445</v>
      </c>
    </row>
    <row r="62" spans="2:3" x14ac:dyDescent="0.4">
      <c r="B62" s="202">
        <v>43839</v>
      </c>
      <c r="C62" s="203" t="s">
        <v>444</v>
      </c>
    </row>
    <row r="63" spans="2:3" x14ac:dyDescent="0.4">
      <c r="B63" s="202">
        <v>43839</v>
      </c>
      <c r="C63" s="203" t="s">
        <v>389</v>
      </c>
    </row>
    <row r="64" spans="2:3" x14ac:dyDescent="0.4">
      <c r="B64" s="202">
        <v>43832</v>
      </c>
      <c r="C64" s="203" t="s">
        <v>384</v>
      </c>
    </row>
    <row r="65" spans="2:3" x14ac:dyDescent="0.4">
      <c r="B65" s="202">
        <v>43814</v>
      </c>
      <c r="C65" s="203" t="s">
        <v>385</v>
      </c>
    </row>
    <row r="66" spans="2:3" x14ac:dyDescent="0.4">
      <c r="B66" s="202">
        <v>43813</v>
      </c>
      <c r="C66" s="203" t="s">
        <v>386</v>
      </c>
    </row>
    <row r="67" spans="2:3" x14ac:dyDescent="0.4">
      <c r="B67" s="202">
        <v>43809</v>
      </c>
      <c r="C67" s="203" t="s">
        <v>400</v>
      </c>
    </row>
    <row r="68" spans="2:3" x14ac:dyDescent="0.4">
      <c r="B68" s="202">
        <v>43808</v>
      </c>
      <c r="C68" s="203" t="s">
        <v>383</v>
      </c>
    </row>
    <row r="69" spans="2:3" x14ac:dyDescent="0.4">
      <c r="B69" s="202">
        <v>43798</v>
      </c>
      <c r="C69" s="203" t="s">
        <v>382</v>
      </c>
    </row>
    <row r="70" spans="2:3" x14ac:dyDescent="0.4">
      <c r="B70" s="202">
        <v>43717</v>
      </c>
      <c r="C70" s="203" t="s">
        <v>381</v>
      </c>
    </row>
  </sheetData>
  <sheetProtection algorithmName="SHA-512" hashValue="oFlfCeOy3BwffS49oCESj5gBDfQ8ViTmKOxUOV0SlZwOkV7JNlcQg5TupV4rwzNI5zdW7Adcl4Huvf0FUu4j4g==" saltValue="ng2+Ksssbkp8BrzIbFjWbA==" spinCount="100000" sheet="1" selectLockedCells="1" selectUnlockedCells="1"/>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tint="-0.249977111117893"/>
  </sheetPr>
  <dimension ref="A1:V418"/>
  <sheetViews>
    <sheetView zoomScaleNormal="100" workbookViewId="0">
      <pane ySplit="3" topLeftCell="A4" activePane="bottomLeft" state="frozen"/>
      <selection activeCell="A8" sqref="A8"/>
      <selection pane="bottomLeft" activeCell="F66" sqref="F66"/>
    </sheetView>
  </sheetViews>
  <sheetFormatPr baseColWidth="10" defaultColWidth="9.07421875" defaultRowHeight="14.6" x14ac:dyDescent="0.4"/>
  <cols>
    <col min="1" max="1" width="5.4609375" style="4" bestFit="1" customWidth="1"/>
    <col min="2" max="2" width="7.53515625" style="4" customWidth="1"/>
    <col min="3" max="3" width="10.84375" style="4" bestFit="1" customWidth="1"/>
    <col min="4" max="4" width="33.53515625" style="4" customWidth="1"/>
    <col min="5" max="5" width="16.69140625" style="60" customWidth="1"/>
    <col min="6" max="6" width="17.69140625" style="4" customWidth="1"/>
    <col min="7" max="7" width="17.07421875" style="17" customWidth="1"/>
    <col min="8" max="8" width="17.4609375" style="17" customWidth="1"/>
    <col min="9" max="9" width="17" style="17" customWidth="1"/>
    <col min="10" max="10" width="17.07421875" style="17" customWidth="1"/>
    <col min="11" max="11" width="17" style="17" customWidth="1"/>
    <col min="12" max="12" width="13.84375" style="4" bestFit="1" customWidth="1"/>
    <col min="13" max="13" width="12.69140625" style="4" bestFit="1" customWidth="1"/>
    <col min="14" max="16" width="13.84375" style="4" bestFit="1" customWidth="1"/>
    <col min="17" max="17" width="15.84375" style="17" customWidth="1"/>
    <col min="18" max="18" width="5.69140625" style="14" bestFit="1" customWidth="1"/>
    <col min="19" max="19" width="7.84375" style="15" customWidth="1"/>
    <col min="20" max="20" width="12.07421875" style="15" customWidth="1"/>
    <col min="21" max="21" width="32.53515625" style="15" customWidth="1"/>
    <col min="22" max="22" width="17.53515625" style="16" customWidth="1"/>
    <col min="23" max="16384" width="9.07421875" style="15"/>
  </cols>
  <sheetData>
    <row r="1" spans="1:22" ht="27.75" customHeight="1" x14ac:dyDescent="0.4">
      <c r="A1" s="14"/>
      <c r="B1" s="15"/>
      <c r="C1" s="15"/>
      <c r="D1" s="15"/>
      <c r="E1" s="20"/>
      <c r="F1" s="145" t="s">
        <v>428</v>
      </c>
      <c r="G1" s="145"/>
      <c r="H1" s="145"/>
      <c r="I1" s="145"/>
      <c r="J1" s="145"/>
      <c r="K1" s="145"/>
      <c r="L1" s="15"/>
      <c r="M1" s="15"/>
      <c r="N1" s="15"/>
      <c r="O1" s="15"/>
      <c r="P1" s="15"/>
      <c r="Q1" s="15"/>
      <c r="R1" s="15"/>
      <c r="V1" s="15"/>
    </row>
    <row r="2" spans="1:22" ht="27.75" customHeight="1" x14ac:dyDescent="0.4">
      <c r="A2" s="14"/>
      <c r="B2" s="15"/>
      <c r="C2" s="15"/>
      <c r="D2" s="15"/>
      <c r="E2" s="20"/>
      <c r="F2" s="146" t="s">
        <v>426</v>
      </c>
      <c r="G2" s="147"/>
      <c r="H2" s="148" t="s">
        <v>427</v>
      </c>
      <c r="I2" s="148"/>
      <c r="J2" s="148"/>
      <c r="K2" s="149" t="s">
        <v>274</v>
      </c>
      <c r="L2" s="15"/>
      <c r="M2" s="15"/>
      <c r="N2" s="15"/>
      <c r="O2" s="15"/>
      <c r="P2" s="15"/>
      <c r="Q2" s="15"/>
      <c r="R2" s="15"/>
      <c r="V2" s="15"/>
    </row>
    <row r="3" spans="1:22" s="18" customFormat="1" ht="31.75" x14ac:dyDescent="0.4">
      <c r="A3" s="165" t="s">
        <v>20</v>
      </c>
      <c r="B3" s="166" t="s">
        <v>226</v>
      </c>
      <c r="C3" s="166" t="s">
        <v>292</v>
      </c>
      <c r="D3" s="167" t="s">
        <v>107</v>
      </c>
      <c r="E3" s="167" t="s">
        <v>322</v>
      </c>
      <c r="F3" s="168" t="s">
        <v>18</v>
      </c>
      <c r="G3" s="168" t="s">
        <v>17</v>
      </c>
      <c r="H3" s="168" t="s">
        <v>220</v>
      </c>
      <c r="I3" s="168" t="s">
        <v>221</v>
      </c>
      <c r="J3" s="168" t="s">
        <v>222</v>
      </c>
      <c r="K3" s="169" t="s">
        <v>438</v>
      </c>
    </row>
    <row r="4" spans="1:22" x14ac:dyDescent="0.4">
      <c r="A4" s="170" t="s">
        <v>38</v>
      </c>
      <c r="B4" s="3" t="s">
        <v>108</v>
      </c>
      <c r="C4" s="3" t="s">
        <v>1</v>
      </c>
      <c r="D4" s="171"/>
      <c r="E4" s="172"/>
      <c r="F4" s="173">
        <v>0</v>
      </c>
      <c r="G4" s="173">
        <v>0</v>
      </c>
      <c r="H4" s="173">
        <v>0</v>
      </c>
      <c r="I4" s="173"/>
      <c r="J4" s="173"/>
      <c r="K4" s="173"/>
      <c r="L4" s="15"/>
      <c r="M4" s="15"/>
      <c r="N4" s="15"/>
      <c r="O4" s="15"/>
      <c r="P4" s="15"/>
      <c r="Q4" s="15"/>
      <c r="R4" s="15"/>
      <c r="V4" s="15"/>
    </row>
    <row r="5" spans="1:22" x14ac:dyDescent="0.4">
      <c r="A5" s="170" t="s">
        <v>38</v>
      </c>
      <c r="B5" s="3" t="s">
        <v>109</v>
      </c>
      <c r="C5" s="3" t="s">
        <v>1</v>
      </c>
      <c r="D5" s="171"/>
      <c r="E5" s="172"/>
      <c r="F5" s="173">
        <v>0</v>
      </c>
      <c r="G5" s="173">
        <v>0</v>
      </c>
      <c r="H5" s="173">
        <v>0</v>
      </c>
      <c r="I5" s="173">
        <v>0</v>
      </c>
      <c r="J5" s="173"/>
      <c r="K5" s="173"/>
      <c r="L5" s="15"/>
      <c r="M5" s="15"/>
      <c r="N5" s="15"/>
      <c r="O5" s="15"/>
      <c r="P5" s="15"/>
      <c r="Q5" s="15"/>
      <c r="R5" s="15"/>
      <c r="V5" s="15"/>
    </row>
    <row r="6" spans="1:22" x14ac:dyDescent="0.4">
      <c r="A6" s="170" t="s">
        <v>38</v>
      </c>
      <c r="B6" s="3" t="s">
        <v>110</v>
      </c>
      <c r="C6" s="3" t="s">
        <v>1</v>
      </c>
      <c r="D6" s="171"/>
      <c r="E6" s="172"/>
      <c r="F6" s="173">
        <v>0</v>
      </c>
      <c r="G6" s="173">
        <v>0</v>
      </c>
      <c r="H6" s="173">
        <v>0</v>
      </c>
      <c r="I6" s="173">
        <v>0</v>
      </c>
      <c r="J6" s="173">
        <v>0</v>
      </c>
      <c r="K6" s="173"/>
      <c r="L6" s="15"/>
      <c r="M6" s="15"/>
      <c r="N6" s="15"/>
      <c r="O6" s="15"/>
      <c r="P6" s="15"/>
      <c r="Q6" s="15"/>
      <c r="R6" s="15"/>
      <c r="V6" s="15"/>
    </row>
    <row r="7" spans="1:22" x14ac:dyDescent="0.4">
      <c r="A7" s="170" t="s">
        <v>38</v>
      </c>
      <c r="B7" s="3" t="s">
        <v>108</v>
      </c>
      <c r="C7" s="3" t="s">
        <v>2</v>
      </c>
      <c r="D7" s="171"/>
      <c r="E7" s="172"/>
      <c r="F7" s="173">
        <v>0</v>
      </c>
      <c r="G7" s="173">
        <v>0</v>
      </c>
      <c r="H7" s="173">
        <v>0</v>
      </c>
      <c r="I7" s="173"/>
      <c r="J7" s="173"/>
      <c r="K7" s="173"/>
      <c r="L7" s="15"/>
      <c r="M7" s="15"/>
      <c r="N7" s="15"/>
      <c r="O7" s="15"/>
      <c r="P7" s="15"/>
      <c r="Q7" s="15"/>
      <c r="R7" s="15"/>
      <c r="V7" s="15"/>
    </row>
    <row r="8" spans="1:22" x14ac:dyDescent="0.4">
      <c r="A8" s="170" t="s">
        <v>38</v>
      </c>
      <c r="B8" s="3" t="s">
        <v>109</v>
      </c>
      <c r="C8" s="3" t="s">
        <v>2</v>
      </c>
      <c r="D8" s="171"/>
      <c r="E8" s="172"/>
      <c r="F8" s="173">
        <v>0</v>
      </c>
      <c r="G8" s="173">
        <v>0</v>
      </c>
      <c r="H8" s="173">
        <v>0</v>
      </c>
      <c r="I8" s="173">
        <v>0</v>
      </c>
      <c r="J8" s="173"/>
      <c r="K8" s="173"/>
      <c r="L8" s="15"/>
      <c r="M8" s="15"/>
      <c r="N8" s="15"/>
      <c r="O8" s="15"/>
      <c r="P8" s="15"/>
      <c r="Q8" s="15"/>
      <c r="R8" s="15"/>
      <c r="V8" s="15"/>
    </row>
    <row r="9" spans="1:22" x14ac:dyDescent="0.4">
      <c r="A9" s="170" t="s">
        <v>38</v>
      </c>
      <c r="B9" s="3" t="s">
        <v>110</v>
      </c>
      <c r="C9" s="3" t="s">
        <v>2</v>
      </c>
      <c r="D9" s="171"/>
      <c r="E9" s="172"/>
      <c r="F9" s="173">
        <v>0</v>
      </c>
      <c r="G9" s="173">
        <v>0</v>
      </c>
      <c r="H9" s="173">
        <v>0</v>
      </c>
      <c r="I9" s="173">
        <v>0</v>
      </c>
      <c r="J9" s="173">
        <v>0</v>
      </c>
      <c r="K9" s="173"/>
      <c r="L9" s="15"/>
      <c r="M9" s="15"/>
      <c r="N9" s="15"/>
      <c r="O9" s="15"/>
      <c r="P9" s="15"/>
      <c r="Q9" s="15"/>
      <c r="R9" s="15"/>
      <c r="V9" s="15"/>
    </row>
    <row r="10" spans="1:22" x14ac:dyDescent="0.4">
      <c r="A10" s="170" t="s">
        <v>38</v>
      </c>
      <c r="B10" s="3" t="s">
        <v>108</v>
      </c>
      <c r="C10" s="3" t="s">
        <v>0</v>
      </c>
      <c r="D10" s="171"/>
      <c r="E10" s="172"/>
      <c r="F10" s="173">
        <v>0</v>
      </c>
      <c r="G10" s="173">
        <v>0</v>
      </c>
      <c r="H10" s="173">
        <v>0</v>
      </c>
      <c r="I10" s="173"/>
      <c r="J10" s="173"/>
      <c r="K10" s="173"/>
      <c r="L10" s="15"/>
      <c r="M10" s="15"/>
      <c r="N10" s="15"/>
      <c r="O10" s="15"/>
      <c r="P10" s="15"/>
      <c r="Q10" s="15"/>
      <c r="R10" s="15"/>
      <c r="V10" s="15"/>
    </row>
    <row r="11" spans="1:22" x14ac:dyDescent="0.4">
      <c r="A11" s="170" t="s">
        <v>38</v>
      </c>
      <c r="B11" s="3" t="s">
        <v>109</v>
      </c>
      <c r="C11" s="3" t="s">
        <v>0</v>
      </c>
      <c r="D11" s="171"/>
      <c r="E11" s="172"/>
      <c r="F11" s="173">
        <v>0</v>
      </c>
      <c r="G11" s="173">
        <v>0</v>
      </c>
      <c r="H11" s="173">
        <v>0</v>
      </c>
      <c r="I11" s="173">
        <v>0</v>
      </c>
      <c r="J11" s="173"/>
      <c r="K11" s="173"/>
      <c r="L11" s="15"/>
      <c r="M11" s="15"/>
      <c r="N11" s="15"/>
      <c r="O11" s="15"/>
      <c r="P11" s="15"/>
      <c r="Q11" s="15"/>
      <c r="R11" s="15"/>
      <c r="V11" s="15"/>
    </row>
    <row r="12" spans="1:22" x14ac:dyDescent="0.4">
      <c r="A12" s="170" t="s">
        <v>38</v>
      </c>
      <c r="B12" s="3" t="s">
        <v>110</v>
      </c>
      <c r="C12" s="3" t="s">
        <v>0</v>
      </c>
      <c r="D12" s="171"/>
      <c r="E12" s="172"/>
      <c r="F12" s="173">
        <v>0</v>
      </c>
      <c r="G12" s="173">
        <v>0</v>
      </c>
      <c r="H12" s="173">
        <v>0</v>
      </c>
      <c r="I12" s="173">
        <v>0</v>
      </c>
      <c r="J12" s="173">
        <v>0</v>
      </c>
      <c r="K12" s="173"/>
      <c r="L12" s="15"/>
      <c r="M12" s="15"/>
      <c r="N12" s="15"/>
      <c r="O12" s="15"/>
      <c r="P12" s="15"/>
      <c r="Q12" s="15"/>
      <c r="R12" s="15"/>
      <c r="V12" s="15"/>
    </row>
    <row r="13" spans="1:22" x14ac:dyDescent="0.4">
      <c r="A13" s="170" t="s">
        <v>6</v>
      </c>
      <c r="B13" s="3" t="s">
        <v>108</v>
      </c>
      <c r="C13" s="3" t="s">
        <v>1</v>
      </c>
      <c r="D13" s="171"/>
      <c r="E13" s="172"/>
      <c r="F13" s="173">
        <v>1478.27</v>
      </c>
      <c r="G13" s="173">
        <v>0</v>
      </c>
      <c r="H13" s="173"/>
      <c r="I13" s="173"/>
      <c r="J13" s="173"/>
      <c r="K13" s="173">
        <f>Tabelle4[[#This Row],[1st strength]]</f>
        <v>1478.27</v>
      </c>
      <c r="L13" s="15"/>
      <c r="M13" s="15"/>
      <c r="N13" s="15"/>
      <c r="O13" s="15"/>
      <c r="P13" s="15"/>
      <c r="Q13" s="15"/>
      <c r="R13" s="15"/>
      <c r="V13" s="15"/>
    </row>
    <row r="14" spans="1:22" x14ac:dyDescent="0.4">
      <c r="A14" s="170" t="s">
        <v>6</v>
      </c>
      <c r="B14" s="3" t="s">
        <v>108</v>
      </c>
      <c r="C14" s="3" t="s">
        <v>1</v>
      </c>
      <c r="D14" s="171" t="s">
        <v>9</v>
      </c>
      <c r="E14" s="172"/>
      <c r="F14" s="173">
        <v>865.83</v>
      </c>
      <c r="G14" s="173">
        <v>0</v>
      </c>
      <c r="H14" s="173"/>
      <c r="I14" s="173"/>
      <c r="J14" s="173"/>
      <c r="K14" s="173">
        <f>Tabelle4[[#This Row],[1st strength]]</f>
        <v>865.83</v>
      </c>
      <c r="L14" s="15"/>
      <c r="M14" s="15"/>
      <c r="N14" s="15"/>
      <c r="O14" s="15"/>
      <c r="P14" s="15"/>
      <c r="Q14" s="15"/>
      <c r="R14" s="15"/>
      <c r="V14" s="15"/>
    </row>
    <row r="15" spans="1:22" x14ac:dyDescent="0.4">
      <c r="A15" s="170" t="s">
        <v>6</v>
      </c>
      <c r="B15" s="3" t="s">
        <v>109</v>
      </c>
      <c r="C15" s="3" t="s">
        <v>1</v>
      </c>
      <c r="D15" s="171"/>
      <c r="E15" s="172"/>
      <c r="F15" s="173">
        <v>2919.57</v>
      </c>
      <c r="G15" s="173">
        <v>0</v>
      </c>
      <c r="H15" s="173"/>
      <c r="I15" s="173"/>
      <c r="J15" s="173"/>
      <c r="K15" s="173">
        <f>Tabelle4[[#This Row],[1st strength]]</f>
        <v>2919.57</v>
      </c>
      <c r="L15" s="15"/>
      <c r="M15" s="15"/>
      <c r="N15" s="15"/>
      <c r="O15" s="15"/>
      <c r="P15" s="15"/>
      <c r="Q15" s="15"/>
      <c r="R15" s="15"/>
      <c r="V15" s="15"/>
    </row>
    <row r="16" spans="1:22" x14ac:dyDescent="0.4">
      <c r="A16" s="170" t="s">
        <v>6</v>
      </c>
      <c r="B16" s="3" t="s">
        <v>109</v>
      </c>
      <c r="C16" s="3" t="s">
        <v>1</v>
      </c>
      <c r="D16" s="171" t="s">
        <v>9</v>
      </c>
      <c r="E16" s="172"/>
      <c r="F16" s="173">
        <v>2788.62</v>
      </c>
      <c r="G16" s="173">
        <v>0</v>
      </c>
      <c r="H16" s="173"/>
      <c r="I16" s="173"/>
      <c r="J16" s="173"/>
      <c r="K16" s="173">
        <f>Tabelle4[[#This Row],[1st strength]]</f>
        <v>2788.62</v>
      </c>
      <c r="L16" s="15"/>
      <c r="M16" s="15"/>
      <c r="N16" s="15"/>
      <c r="O16" s="15"/>
      <c r="P16" s="15"/>
      <c r="Q16" s="15"/>
      <c r="R16" s="15"/>
      <c r="V16" s="15"/>
    </row>
    <row r="17" spans="1:22" x14ac:dyDescent="0.4">
      <c r="A17" s="170" t="s">
        <v>6</v>
      </c>
      <c r="B17" s="3" t="s">
        <v>110</v>
      </c>
      <c r="C17" s="3" t="s">
        <v>1</v>
      </c>
      <c r="D17" s="171" t="s">
        <v>7</v>
      </c>
      <c r="E17" s="172"/>
      <c r="F17" s="173">
        <v>8391.06</v>
      </c>
      <c r="G17" s="173">
        <v>0</v>
      </c>
      <c r="H17" s="173"/>
      <c r="I17" s="173"/>
      <c r="J17" s="173"/>
      <c r="K17" s="173">
        <f>Tabelle4[[#This Row],[1st strength]]</f>
        <v>8391.06</v>
      </c>
      <c r="L17" s="15"/>
      <c r="M17" s="15"/>
      <c r="N17" s="15"/>
      <c r="O17" s="15"/>
      <c r="P17" s="15"/>
      <c r="Q17" s="15"/>
      <c r="R17" s="15"/>
      <c r="V17" s="15"/>
    </row>
    <row r="18" spans="1:22" x14ac:dyDescent="0.4">
      <c r="A18" s="170" t="s">
        <v>6</v>
      </c>
      <c r="B18" s="3" t="s">
        <v>110</v>
      </c>
      <c r="C18" s="3" t="s">
        <v>1</v>
      </c>
      <c r="D18" s="171" t="s">
        <v>104</v>
      </c>
      <c r="E18" s="172"/>
      <c r="F18" s="173">
        <v>7832.83</v>
      </c>
      <c r="G18" s="173">
        <v>0</v>
      </c>
      <c r="H18" s="173"/>
      <c r="I18" s="173"/>
      <c r="J18" s="173"/>
      <c r="K18" s="173">
        <f>Tabelle4[[#This Row],[1st strength]]</f>
        <v>7832.83</v>
      </c>
      <c r="L18" s="15"/>
      <c r="M18" s="15"/>
      <c r="N18" s="15"/>
      <c r="O18" s="15"/>
      <c r="P18" s="15"/>
      <c r="Q18" s="15"/>
      <c r="R18" s="15"/>
      <c r="V18" s="15"/>
    </row>
    <row r="19" spans="1:22" x14ac:dyDescent="0.4">
      <c r="A19" s="170" t="s">
        <v>6</v>
      </c>
      <c r="B19" s="3" t="s">
        <v>110</v>
      </c>
      <c r="C19" s="3" t="s">
        <v>1</v>
      </c>
      <c r="D19" s="171" t="s">
        <v>8</v>
      </c>
      <c r="E19" s="172"/>
      <c r="F19" s="173">
        <v>13305.01</v>
      </c>
      <c r="G19" s="173">
        <v>0</v>
      </c>
      <c r="H19" s="173"/>
      <c r="I19" s="173"/>
      <c r="J19" s="173"/>
      <c r="K19" s="173">
        <f>Tabelle4[[#This Row],[1st strength]]</f>
        <v>13305.01</v>
      </c>
      <c r="L19" s="15"/>
      <c r="M19" s="15"/>
      <c r="N19" s="15"/>
      <c r="O19" s="15"/>
      <c r="P19" s="15"/>
      <c r="Q19" s="15"/>
      <c r="R19" s="15"/>
      <c r="V19" s="15"/>
    </row>
    <row r="20" spans="1:22" x14ac:dyDescent="0.4">
      <c r="A20" s="170" t="s">
        <v>6</v>
      </c>
      <c r="B20" s="3" t="s">
        <v>110</v>
      </c>
      <c r="C20" s="3" t="s">
        <v>1</v>
      </c>
      <c r="D20" s="171" t="s">
        <v>105</v>
      </c>
      <c r="E20" s="172"/>
      <c r="F20" s="173">
        <v>13894.6</v>
      </c>
      <c r="G20" s="173">
        <v>0</v>
      </c>
      <c r="H20" s="173"/>
      <c r="I20" s="173"/>
      <c r="J20" s="173"/>
      <c r="K20" s="173">
        <f>Tabelle4[[#This Row],[1st strength]]</f>
        <v>13894.6</v>
      </c>
      <c r="L20" s="15"/>
      <c r="M20" s="15"/>
      <c r="N20" s="15"/>
      <c r="O20" s="15"/>
      <c r="P20" s="15"/>
      <c r="Q20" s="15"/>
      <c r="R20" s="15"/>
      <c r="V20" s="15"/>
    </row>
    <row r="21" spans="1:22" x14ac:dyDescent="0.4">
      <c r="A21" s="170" t="s">
        <v>6</v>
      </c>
      <c r="B21" s="3" t="s">
        <v>108</v>
      </c>
      <c r="C21" s="3" t="s">
        <v>2</v>
      </c>
      <c r="D21" s="171"/>
      <c r="E21" s="172"/>
      <c r="F21" s="173">
        <v>537.5</v>
      </c>
      <c r="G21" s="173">
        <v>0</v>
      </c>
      <c r="H21" s="173"/>
      <c r="I21" s="173"/>
      <c r="J21" s="173"/>
      <c r="K21" s="173">
        <f>Tabelle4[[#This Row],[1st strength]]</f>
        <v>537.5</v>
      </c>
      <c r="L21" s="15"/>
      <c r="M21" s="15"/>
      <c r="N21" s="15"/>
      <c r="O21" s="15"/>
      <c r="P21" s="15"/>
      <c r="Q21" s="15"/>
      <c r="R21" s="15"/>
      <c r="V21" s="15"/>
    </row>
    <row r="22" spans="1:22" x14ac:dyDescent="0.4">
      <c r="A22" s="170" t="s">
        <v>6</v>
      </c>
      <c r="B22" s="3" t="s">
        <v>108</v>
      </c>
      <c r="C22" s="3" t="s">
        <v>2</v>
      </c>
      <c r="D22" s="171" t="s">
        <v>9</v>
      </c>
      <c r="E22" s="172"/>
      <c r="F22" s="173">
        <v>617.91999999999996</v>
      </c>
      <c r="G22" s="173">
        <v>0</v>
      </c>
      <c r="H22" s="173"/>
      <c r="I22" s="173"/>
      <c r="J22" s="173"/>
      <c r="K22" s="173">
        <f>Tabelle4[[#This Row],[1st strength]]</f>
        <v>617.91999999999996</v>
      </c>
      <c r="L22" s="15"/>
      <c r="M22" s="15"/>
      <c r="N22" s="15"/>
      <c r="O22" s="15"/>
      <c r="P22" s="15"/>
      <c r="Q22" s="15"/>
      <c r="R22" s="15"/>
      <c r="V22" s="15"/>
    </row>
    <row r="23" spans="1:22" x14ac:dyDescent="0.4">
      <c r="A23" s="170" t="s">
        <v>6</v>
      </c>
      <c r="B23" s="3" t="s">
        <v>109</v>
      </c>
      <c r="C23" s="3" t="s">
        <v>2</v>
      </c>
      <c r="D23" s="171"/>
      <c r="E23" s="172"/>
      <c r="F23" s="173">
        <v>851.58</v>
      </c>
      <c r="G23" s="173">
        <v>0</v>
      </c>
      <c r="H23" s="173"/>
      <c r="I23" s="173"/>
      <c r="J23" s="173"/>
      <c r="K23" s="173">
        <f>Tabelle4[[#This Row],[1st strength]]</f>
        <v>851.58</v>
      </c>
      <c r="L23" s="15"/>
      <c r="M23" s="15"/>
      <c r="N23" s="15"/>
      <c r="O23" s="15"/>
      <c r="P23" s="15"/>
      <c r="Q23" s="15"/>
      <c r="R23" s="15"/>
      <c r="V23" s="15"/>
    </row>
    <row r="24" spans="1:22" x14ac:dyDescent="0.4">
      <c r="A24" s="170" t="s">
        <v>6</v>
      </c>
      <c r="B24" s="3" t="s">
        <v>109</v>
      </c>
      <c r="C24" s="3" t="s">
        <v>2</v>
      </c>
      <c r="D24" s="171" t="s">
        <v>9</v>
      </c>
      <c r="E24" s="172"/>
      <c r="F24" s="173">
        <v>541.42999999999995</v>
      </c>
      <c r="G24" s="173">
        <v>0</v>
      </c>
      <c r="H24" s="173"/>
      <c r="I24" s="173"/>
      <c r="J24" s="173"/>
      <c r="K24" s="173">
        <f>Tabelle4[[#This Row],[1st strength]]</f>
        <v>541.42999999999995</v>
      </c>
      <c r="L24" s="15"/>
      <c r="M24" s="15"/>
      <c r="N24" s="15"/>
      <c r="O24" s="15"/>
      <c r="P24" s="15"/>
      <c r="Q24" s="15"/>
      <c r="R24" s="15"/>
      <c r="V24" s="15"/>
    </row>
    <row r="25" spans="1:22" x14ac:dyDescent="0.4">
      <c r="A25" s="170" t="s">
        <v>6</v>
      </c>
      <c r="B25" s="3" t="s">
        <v>110</v>
      </c>
      <c r="C25" s="3" t="s">
        <v>2</v>
      </c>
      <c r="D25" s="171" t="s">
        <v>7</v>
      </c>
      <c r="E25" s="172"/>
      <c r="F25" s="173">
        <v>758.55</v>
      </c>
      <c r="G25" s="173">
        <v>0</v>
      </c>
      <c r="H25" s="173"/>
      <c r="I25" s="173"/>
      <c r="J25" s="173"/>
      <c r="K25" s="173">
        <f>Tabelle4[[#This Row],[1st strength]]</f>
        <v>758.55</v>
      </c>
      <c r="L25" s="15"/>
      <c r="M25" s="15"/>
      <c r="N25" s="15"/>
      <c r="O25" s="15"/>
      <c r="P25" s="15"/>
      <c r="Q25" s="15"/>
      <c r="R25" s="15"/>
      <c r="V25" s="15"/>
    </row>
    <row r="26" spans="1:22" x14ac:dyDescent="0.4">
      <c r="A26" s="170" t="s">
        <v>6</v>
      </c>
      <c r="B26" s="3" t="s">
        <v>110</v>
      </c>
      <c r="C26" s="3" t="s">
        <v>2</v>
      </c>
      <c r="D26" s="171" t="s">
        <v>104</v>
      </c>
      <c r="E26" s="172"/>
      <c r="F26" s="173">
        <v>799.2</v>
      </c>
      <c r="G26" s="173">
        <v>0</v>
      </c>
      <c r="H26" s="173"/>
      <c r="I26" s="173"/>
      <c r="J26" s="173"/>
      <c r="K26" s="173">
        <f>Tabelle4[[#This Row],[1st strength]]</f>
        <v>799.2</v>
      </c>
      <c r="L26" s="15"/>
      <c r="M26" s="15"/>
      <c r="N26" s="15"/>
      <c r="O26" s="15"/>
      <c r="P26" s="15"/>
      <c r="Q26" s="15"/>
      <c r="R26" s="15"/>
      <c r="V26" s="15"/>
    </row>
    <row r="27" spans="1:22" x14ac:dyDescent="0.4">
      <c r="A27" s="170" t="s">
        <v>6</v>
      </c>
      <c r="B27" s="3" t="s">
        <v>110</v>
      </c>
      <c r="C27" s="3" t="s">
        <v>2</v>
      </c>
      <c r="D27" s="171" t="s">
        <v>8</v>
      </c>
      <c r="E27" s="172"/>
      <c r="F27" s="173">
        <v>1718.56</v>
      </c>
      <c r="G27" s="173">
        <v>0</v>
      </c>
      <c r="H27" s="173"/>
      <c r="I27" s="173"/>
      <c r="J27" s="173"/>
      <c r="K27" s="173">
        <f>Tabelle4[[#This Row],[1st strength]]</f>
        <v>1718.56</v>
      </c>
      <c r="L27" s="15"/>
      <c r="M27" s="15"/>
      <c r="N27" s="15"/>
      <c r="O27" s="15"/>
      <c r="P27" s="15"/>
      <c r="Q27" s="15"/>
      <c r="R27" s="15"/>
      <c r="V27" s="15"/>
    </row>
    <row r="28" spans="1:22" x14ac:dyDescent="0.4">
      <c r="A28" s="170" t="s">
        <v>6</v>
      </c>
      <c r="B28" s="3" t="s">
        <v>110</v>
      </c>
      <c r="C28" s="3" t="s">
        <v>2</v>
      </c>
      <c r="D28" s="171" t="s">
        <v>105</v>
      </c>
      <c r="E28" s="172"/>
      <c r="F28" s="173">
        <v>1943.71</v>
      </c>
      <c r="G28" s="173">
        <v>0</v>
      </c>
      <c r="H28" s="173"/>
      <c r="I28" s="173"/>
      <c r="J28" s="173"/>
      <c r="K28" s="173">
        <f>Tabelle4[[#This Row],[1st strength]]</f>
        <v>1943.71</v>
      </c>
      <c r="L28" s="15"/>
      <c r="M28" s="15"/>
      <c r="N28" s="15"/>
      <c r="O28" s="15"/>
      <c r="P28" s="15"/>
      <c r="Q28" s="15"/>
      <c r="R28" s="15"/>
      <c r="V28" s="15"/>
    </row>
    <row r="29" spans="1:22" x14ac:dyDescent="0.4">
      <c r="A29" s="170" t="s">
        <v>6</v>
      </c>
      <c r="B29" s="3" t="s">
        <v>108</v>
      </c>
      <c r="C29" s="3" t="s">
        <v>0</v>
      </c>
      <c r="D29" s="171"/>
      <c r="E29" s="172"/>
      <c r="F29" s="173">
        <v>691.18</v>
      </c>
      <c r="G29" s="173">
        <v>0</v>
      </c>
      <c r="H29" s="173"/>
      <c r="I29" s="173"/>
      <c r="J29" s="173"/>
      <c r="K29" s="173">
        <f>Tabelle4[[#This Row],[1st strength]]</f>
        <v>691.18</v>
      </c>
      <c r="L29" s="15"/>
      <c r="M29" s="15"/>
      <c r="N29" s="15"/>
      <c r="O29" s="15"/>
      <c r="P29" s="15"/>
      <c r="Q29" s="15"/>
      <c r="R29" s="15"/>
      <c r="V29" s="15"/>
    </row>
    <row r="30" spans="1:22" x14ac:dyDescent="0.4">
      <c r="A30" s="170" t="s">
        <v>6</v>
      </c>
      <c r="B30" s="3" t="s">
        <v>108</v>
      </c>
      <c r="C30" s="3" t="s">
        <v>0</v>
      </c>
      <c r="D30" s="171" t="s">
        <v>9</v>
      </c>
      <c r="E30" s="172"/>
      <c r="F30" s="173">
        <v>1089.06</v>
      </c>
      <c r="G30" s="173">
        <v>0</v>
      </c>
      <c r="H30" s="173"/>
      <c r="I30" s="173"/>
      <c r="J30" s="173"/>
      <c r="K30" s="173">
        <f>Tabelle4[[#This Row],[1st strength]]</f>
        <v>1089.06</v>
      </c>
      <c r="L30" s="15"/>
      <c r="M30" s="15"/>
      <c r="N30" s="15"/>
      <c r="O30" s="15"/>
      <c r="P30" s="15"/>
      <c r="Q30" s="15"/>
      <c r="R30" s="15"/>
      <c r="V30" s="15"/>
    </row>
    <row r="31" spans="1:22" x14ac:dyDescent="0.4">
      <c r="A31" s="170" t="s">
        <v>6</v>
      </c>
      <c r="B31" s="3" t="s">
        <v>108</v>
      </c>
      <c r="C31" s="3" t="s">
        <v>0</v>
      </c>
      <c r="D31" s="171" t="s">
        <v>479</v>
      </c>
      <c r="E31" s="172"/>
      <c r="F31" s="173">
        <v>763.17</v>
      </c>
      <c r="G31" s="173">
        <v>0</v>
      </c>
      <c r="H31" s="173"/>
      <c r="I31" s="173"/>
      <c r="J31" s="173"/>
      <c r="K31" s="173">
        <f>Tabelle4[[#This Row],[1st strength]]</f>
        <v>763.17</v>
      </c>
      <c r="L31" s="15"/>
      <c r="M31" s="15"/>
      <c r="N31" s="15"/>
      <c r="O31" s="15"/>
      <c r="P31" s="15"/>
      <c r="Q31" s="15"/>
      <c r="R31" s="15"/>
      <c r="V31" s="15"/>
    </row>
    <row r="32" spans="1:22" x14ac:dyDescent="0.4">
      <c r="A32" s="170" t="s">
        <v>6</v>
      </c>
      <c r="B32" s="3" t="s">
        <v>108</v>
      </c>
      <c r="C32" s="3" t="s">
        <v>0</v>
      </c>
      <c r="D32" s="171" t="s">
        <v>480</v>
      </c>
      <c r="E32" s="172"/>
      <c r="F32" s="173">
        <v>763.17</v>
      </c>
      <c r="G32" s="173">
        <v>0</v>
      </c>
      <c r="H32" s="173"/>
      <c r="I32" s="173"/>
      <c r="J32" s="173"/>
      <c r="K32" s="173">
        <f>Tabelle4[[#This Row],[1st strength]]</f>
        <v>763.17</v>
      </c>
      <c r="L32" s="15"/>
      <c r="M32" s="15"/>
      <c r="N32" s="15"/>
      <c r="O32" s="15"/>
      <c r="P32" s="15"/>
      <c r="Q32" s="15"/>
      <c r="R32" s="15"/>
      <c r="V32" s="15"/>
    </row>
    <row r="33" spans="1:22" x14ac:dyDescent="0.4">
      <c r="A33" s="170" t="s">
        <v>6</v>
      </c>
      <c r="B33" s="3" t="s">
        <v>109</v>
      </c>
      <c r="C33" s="3" t="s">
        <v>0</v>
      </c>
      <c r="D33" s="171"/>
      <c r="E33" s="172"/>
      <c r="F33" s="173">
        <v>1281.6600000000001</v>
      </c>
      <c r="G33" s="173">
        <v>0</v>
      </c>
      <c r="H33" s="173"/>
      <c r="I33" s="173"/>
      <c r="J33" s="173"/>
      <c r="K33" s="173">
        <f>Tabelle4[[#This Row],[1st strength]]</f>
        <v>1281.6600000000001</v>
      </c>
      <c r="L33" s="15"/>
      <c r="M33" s="15"/>
      <c r="N33" s="15"/>
      <c r="O33" s="15"/>
      <c r="P33" s="15"/>
      <c r="Q33" s="15"/>
      <c r="R33" s="15"/>
      <c r="V33" s="15"/>
    </row>
    <row r="34" spans="1:22" x14ac:dyDescent="0.4">
      <c r="A34" s="170" t="s">
        <v>6</v>
      </c>
      <c r="B34" s="3" t="s">
        <v>109</v>
      </c>
      <c r="C34" s="3" t="s">
        <v>0</v>
      </c>
      <c r="D34" s="171" t="s">
        <v>9</v>
      </c>
      <c r="E34" s="172"/>
      <c r="F34" s="173">
        <v>2039.91</v>
      </c>
      <c r="G34" s="173">
        <v>0</v>
      </c>
      <c r="H34" s="173"/>
      <c r="I34" s="173"/>
      <c r="J34" s="173"/>
      <c r="K34" s="173">
        <f>Tabelle4[[#This Row],[1st strength]]</f>
        <v>2039.91</v>
      </c>
      <c r="L34" s="15"/>
      <c r="M34" s="15"/>
      <c r="N34" s="15"/>
      <c r="O34" s="15"/>
      <c r="P34" s="15"/>
      <c r="Q34" s="15"/>
      <c r="R34" s="15"/>
      <c r="V34" s="15"/>
    </row>
    <row r="35" spans="1:22" x14ac:dyDescent="0.4">
      <c r="A35" s="170" t="s">
        <v>6</v>
      </c>
      <c r="B35" s="3" t="s">
        <v>110</v>
      </c>
      <c r="C35" s="3" t="s">
        <v>0</v>
      </c>
      <c r="D35" s="171" t="s">
        <v>7</v>
      </c>
      <c r="E35" s="172"/>
      <c r="F35" s="173">
        <v>10261.26</v>
      </c>
      <c r="G35" s="173">
        <v>0</v>
      </c>
      <c r="H35" s="173"/>
      <c r="I35" s="173"/>
      <c r="J35" s="173"/>
      <c r="K35" s="173">
        <f>Tabelle4[[#This Row],[1st strength]]</f>
        <v>10261.26</v>
      </c>
      <c r="L35" s="15"/>
      <c r="M35" s="15"/>
      <c r="N35" s="15"/>
      <c r="O35" s="15"/>
      <c r="P35" s="15"/>
      <c r="Q35" s="15"/>
      <c r="R35" s="15"/>
      <c r="V35" s="15"/>
    </row>
    <row r="36" spans="1:22" x14ac:dyDescent="0.4">
      <c r="A36" s="170" t="s">
        <v>6</v>
      </c>
      <c r="B36" s="3" t="s">
        <v>110</v>
      </c>
      <c r="C36" s="3" t="s">
        <v>0</v>
      </c>
      <c r="D36" s="171" t="s">
        <v>104</v>
      </c>
      <c r="E36" s="172"/>
      <c r="F36" s="173">
        <v>9750.64</v>
      </c>
      <c r="G36" s="173">
        <v>0</v>
      </c>
      <c r="H36" s="173"/>
      <c r="I36" s="173"/>
      <c r="J36" s="173"/>
      <c r="K36" s="173">
        <f>Tabelle4[[#This Row],[1st strength]]</f>
        <v>9750.64</v>
      </c>
      <c r="L36" s="15"/>
      <c r="M36" s="15"/>
      <c r="N36" s="15"/>
      <c r="O36" s="15"/>
      <c r="P36" s="15"/>
      <c r="Q36" s="15"/>
      <c r="R36" s="15"/>
      <c r="V36" s="15"/>
    </row>
    <row r="37" spans="1:22" x14ac:dyDescent="0.4">
      <c r="A37" s="170" t="s">
        <v>6</v>
      </c>
      <c r="B37" s="3" t="s">
        <v>110</v>
      </c>
      <c r="C37" s="3" t="s">
        <v>0</v>
      </c>
      <c r="D37" s="171" t="s">
        <v>8</v>
      </c>
      <c r="E37" s="172"/>
      <c r="F37" s="173">
        <v>7010.89</v>
      </c>
      <c r="G37" s="173">
        <v>0</v>
      </c>
      <c r="H37" s="173"/>
      <c r="I37" s="173"/>
      <c r="J37" s="173"/>
      <c r="K37" s="173">
        <f>Tabelle4[[#This Row],[1st strength]]</f>
        <v>7010.89</v>
      </c>
      <c r="L37" s="15"/>
      <c r="M37" s="15"/>
      <c r="N37" s="15"/>
      <c r="O37" s="15"/>
      <c r="P37" s="15"/>
      <c r="Q37" s="15"/>
      <c r="R37" s="15"/>
      <c r="V37" s="15"/>
    </row>
    <row r="38" spans="1:22" x14ac:dyDescent="0.4">
      <c r="A38" s="170" t="s">
        <v>6</v>
      </c>
      <c r="B38" s="3" t="s">
        <v>110</v>
      </c>
      <c r="C38" s="3" t="s">
        <v>0</v>
      </c>
      <c r="D38" s="171" t="s">
        <v>105</v>
      </c>
      <c r="E38" s="172"/>
      <c r="F38" s="173">
        <v>8122.65</v>
      </c>
      <c r="G38" s="173">
        <v>0</v>
      </c>
      <c r="H38" s="173"/>
      <c r="I38" s="173"/>
      <c r="J38" s="173"/>
      <c r="K38" s="173">
        <f>Tabelle4[[#This Row],[1st strength]]</f>
        <v>8122.65</v>
      </c>
      <c r="L38" s="15"/>
      <c r="M38" s="15"/>
      <c r="N38" s="15"/>
      <c r="O38" s="15"/>
      <c r="P38" s="15"/>
      <c r="Q38" s="15"/>
      <c r="R38" s="15"/>
      <c r="V38" s="15"/>
    </row>
    <row r="39" spans="1:22" x14ac:dyDescent="0.4">
      <c r="A39" s="170" t="s">
        <v>10</v>
      </c>
      <c r="B39" s="3" t="s">
        <v>108</v>
      </c>
      <c r="C39" s="3" t="s">
        <v>1</v>
      </c>
      <c r="D39" s="171"/>
      <c r="E39" s="172"/>
      <c r="F39" s="173">
        <v>511.29</v>
      </c>
      <c r="G39" s="173">
        <v>0</v>
      </c>
      <c r="H39" s="173">
        <f>Tabelle4[[#This Row],[1st strength]]</f>
        <v>511.29</v>
      </c>
      <c r="I39" s="173"/>
      <c r="J39" s="173"/>
      <c r="K39" s="173"/>
      <c r="L39" s="15"/>
      <c r="M39" s="15"/>
      <c r="N39" s="15"/>
      <c r="O39" s="15"/>
      <c r="P39" s="15"/>
      <c r="Q39" s="15"/>
      <c r="R39" s="15"/>
      <c r="V39" s="15"/>
    </row>
    <row r="40" spans="1:22" x14ac:dyDescent="0.4">
      <c r="A40" s="170" t="s">
        <v>10</v>
      </c>
      <c r="B40" s="3" t="s">
        <v>109</v>
      </c>
      <c r="C40" s="3" t="s">
        <v>1</v>
      </c>
      <c r="D40" s="171"/>
      <c r="E40" s="172"/>
      <c r="F40" s="173">
        <v>511.29</v>
      </c>
      <c r="G40" s="173">
        <v>0</v>
      </c>
      <c r="H40" s="173">
        <f>F39</f>
        <v>511.29</v>
      </c>
      <c r="I40" s="173">
        <f>Tabelle4[[#This Row],[1st strength]]</f>
        <v>511.29</v>
      </c>
      <c r="J40" s="173"/>
      <c r="K40" s="173"/>
      <c r="L40" s="15"/>
      <c r="M40" s="15"/>
      <c r="N40" s="15"/>
      <c r="O40" s="15"/>
      <c r="P40" s="15"/>
      <c r="Q40" s="15"/>
      <c r="R40" s="15"/>
      <c r="V40" s="15"/>
    </row>
    <row r="41" spans="1:22" x14ac:dyDescent="0.4">
      <c r="A41" s="170" t="s">
        <v>10</v>
      </c>
      <c r="B41" s="3" t="s">
        <v>110</v>
      </c>
      <c r="C41" s="3" t="s">
        <v>1</v>
      </c>
      <c r="D41" s="171"/>
      <c r="E41" s="172"/>
      <c r="F41" s="173">
        <v>766.94</v>
      </c>
      <c r="G41" s="173">
        <v>0</v>
      </c>
      <c r="H41" s="173">
        <f>F39</f>
        <v>511.29</v>
      </c>
      <c r="I41" s="173">
        <f>F40</f>
        <v>511.29</v>
      </c>
      <c r="J41" s="173">
        <f>Tabelle4[[#This Row],[1st strength]]</f>
        <v>766.94</v>
      </c>
      <c r="K41" s="173"/>
      <c r="L41" s="15"/>
      <c r="M41" s="15"/>
      <c r="N41" s="15"/>
      <c r="O41" s="15"/>
      <c r="P41" s="15"/>
      <c r="Q41" s="15"/>
      <c r="R41" s="15"/>
      <c r="V41" s="15"/>
    </row>
    <row r="42" spans="1:22" x14ac:dyDescent="0.4">
      <c r="A42" s="170" t="s">
        <v>10</v>
      </c>
      <c r="B42" s="3" t="s">
        <v>108</v>
      </c>
      <c r="C42" s="3" t="s">
        <v>2</v>
      </c>
      <c r="D42" s="171"/>
      <c r="E42" s="172"/>
      <c r="F42" s="173">
        <v>511.29</v>
      </c>
      <c r="G42" s="173">
        <v>0</v>
      </c>
      <c r="H42" s="173">
        <f>Tabelle4[[#This Row],[1st strength]]</f>
        <v>511.29</v>
      </c>
      <c r="I42" s="173"/>
      <c r="J42" s="173"/>
      <c r="K42" s="173"/>
      <c r="L42" s="15"/>
      <c r="M42" s="15"/>
      <c r="N42" s="15"/>
      <c r="O42" s="15"/>
      <c r="P42" s="15"/>
      <c r="Q42" s="15"/>
      <c r="R42" s="15"/>
      <c r="V42" s="15"/>
    </row>
    <row r="43" spans="1:22" x14ac:dyDescent="0.4">
      <c r="A43" s="170" t="s">
        <v>10</v>
      </c>
      <c r="B43" s="3" t="s">
        <v>109</v>
      </c>
      <c r="C43" s="3" t="s">
        <v>2</v>
      </c>
      <c r="D43" s="171"/>
      <c r="E43" s="172"/>
      <c r="F43" s="173">
        <v>511.29</v>
      </c>
      <c r="G43" s="173">
        <v>0</v>
      </c>
      <c r="H43" s="173">
        <f>F42</f>
        <v>511.29</v>
      </c>
      <c r="I43" s="173">
        <f>Tabelle4[[#This Row],[1st strength]]</f>
        <v>511.29</v>
      </c>
      <c r="J43" s="173"/>
      <c r="K43" s="173"/>
      <c r="L43" s="15"/>
      <c r="M43" s="15"/>
      <c r="N43" s="15"/>
      <c r="O43" s="15"/>
      <c r="P43" s="15"/>
      <c r="Q43" s="15"/>
      <c r="R43" s="15"/>
      <c r="V43" s="15"/>
    </row>
    <row r="44" spans="1:22" x14ac:dyDescent="0.4">
      <c r="A44" s="170" t="s">
        <v>10</v>
      </c>
      <c r="B44" s="3" t="s">
        <v>110</v>
      </c>
      <c r="C44" s="3" t="s">
        <v>2</v>
      </c>
      <c r="D44" s="171"/>
      <c r="E44" s="172"/>
      <c r="F44" s="173">
        <v>766.94</v>
      </c>
      <c r="G44" s="173">
        <v>0</v>
      </c>
      <c r="H44" s="173">
        <f>F42</f>
        <v>511.29</v>
      </c>
      <c r="I44" s="173">
        <f>F43</f>
        <v>511.29</v>
      </c>
      <c r="J44" s="173">
        <f>Tabelle4[[#This Row],[1st strength]]</f>
        <v>766.94</v>
      </c>
      <c r="K44" s="173"/>
      <c r="L44" s="15"/>
      <c r="M44" s="15"/>
      <c r="N44" s="15"/>
      <c r="O44" s="15"/>
      <c r="P44" s="15"/>
      <c r="Q44" s="15"/>
      <c r="R44" s="15"/>
      <c r="V44" s="15"/>
    </row>
    <row r="45" spans="1:22" x14ac:dyDescent="0.4">
      <c r="A45" s="170" t="s">
        <v>10</v>
      </c>
      <c r="B45" s="3" t="s">
        <v>108</v>
      </c>
      <c r="C45" s="3" t="s">
        <v>0</v>
      </c>
      <c r="D45" s="171"/>
      <c r="E45" s="172"/>
      <c r="F45" s="173">
        <v>255.65</v>
      </c>
      <c r="G45" s="173">
        <v>0</v>
      </c>
      <c r="H45" s="173">
        <f>Tabelle4[[#This Row],[1st strength]]</f>
        <v>255.65</v>
      </c>
      <c r="I45" s="173"/>
      <c r="J45" s="173"/>
      <c r="K45" s="173"/>
      <c r="L45" s="15"/>
      <c r="M45" s="15"/>
      <c r="N45" s="15"/>
      <c r="O45" s="15"/>
      <c r="P45" s="15"/>
      <c r="Q45" s="15"/>
      <c r="R45" s="15"/>
      <c r="V45" s="15"/>
    </row>
    <row r="46" spans="1:22" x14ac:dyDescent="0.4">
      <c r="A46" s="170" t="s">
        <v>10</v>
      </c>
      <c r="B46" s="3" t="s">
        <v>109</v>
      </c>
      <c r="C46" s="3" t="s">
        <v>0</v>
      </c>
      <c r="D46" s="171"/>
      <c r="E46" s="172"/>
      <c r="F46" s="173">
        <v>511.29</v>
      </c>
      <c r="G46" s="173">
        <v>0</v>
      </c>
      <c r="H46" s="173">
        <f>F45</f>
        <v>255.65</v>
      </c>
      <c r="I46" s="173">
        <f>Tabelle4[[#This Row],[1st strength]]</f>
        <v>511.29</v>
      </c>
      <c r="J46" s="173"/>
      <c r="K46" s="173"/>
      <c r="L46" s="15"/>
      <c r="M46" s="15"/>
      <c r="N46" s="15"/>
      <c r="O46" s="15"/>
      <c r="P46" s="15"/>
      <c r="Q46" s="15"/>
      <c r="R46" s="15"/>
      <c r="V46" s="15"/>
    </row>
    <row r="47" spans="1:22" x14ac:dyDescent="0.4">
      <c r="A47" s="170" t="s">
        <v>10</v>
      </c>
      <c r="B47" s="3" t="s">
        <v>110</v>
      </c>
      <c r="C47" s="3" t="s">
        <v>0</v>
      </c>
      <c r="D47" s="171"/>
      <c r="E47" s="172"/>
      <c r="F47" s="173">
        <v>894.76</v>
      </c>
      <c r="G47" s="173">
        <v>0</v>
      </c>
      <c r="H47" s="173">
        <f>F45</f>
        <v>255.65</v>
      </c>
      <c r="I47" s="173">
        <f>F46</f>
        <v>511.29</v>
      </c>
      <c r="J47" s="173">
        <f>Tabelle4[[#This Row],[1st strength]]</f>
        <v>894.76</v>
      </c>
      <c r="K47" s="173"/>
      <c r="L47" s="15"/>
      <c r="M47" s="15"/>
      <c r="N47" s="15"/>
      <c r="O47" s="15"/>
      <c r="P47" s="15"/>
      <c r="Q47" s="15"/>
      <c r="R47" s="15"/>
      <c r="V47" s="15"/>
    </row>
    <row r="48" spans="1:22" x14ac:dyDescent="0.4">
      <c r="A48" s="170" t="s">
        <v>12</v>
      </c>
      <c r="B48" s="3" t="s">
        <v>108</v>
      </c>
      <c r="C48" s="3" t="s">
        <v>1</v>
      </c>
      <c r="D48" s="171"/>
      <c r="E48" s="172"/>
      <c r="F48" s="173">
        <v>341</v>
      </c>
      <c r="G48" s="173">
        <v>0</v>
      </c>
      <c r="H48" s="173">
        <v>341</v>
      </c>
      <c r="I48" s="173"/>
      <c r="J48" s="173"/>
      <c r="K48" s="173"/>
      <c r="L48" s="15"/>
      <c r="M48" s="15"/>
      <c r="N48" s="15"/>
      <c r="O48" s="15"/>
      <c r="P48" s="15"/>
      <c r="Q48" s="15"/>
      <c r="R48" s="15"/>
      <c r="V48" s="15"/>
    </row>
    <row r="49" spans="1:22" x14ac:dyDescent="0.4">
      <c r="A49" s="170" t="s">
        <v>12</v>
      </c>
      <c r="B49" s="3" t="s">
        <v>109</v>
      </c>
      <c r="C49" s="3" t="s">
        <v>1</v>
      </c>
      <c r="D49" s="171"/>
      <c r="E49" s="172"/>
      <c r="F49" s="173">
        <v>341</v>
      </c>
      <c r="G49" s="173">
        <v>0</v>
      </c>
      <c r="H49" s="173">
        <v>341</v>
      </c>
      <c r="I49" s="173">
        <v>341</v>
      </c>
      <c r="J49" s="173"/>
      <c r="K49" s="173"/>
      <c r="L49" s="15"/>
      <c r="M49" s="15"/>
      <c r="N49" s="15"/>
      <c r="O49" s="15"/>
      <c r="P49" s="15"/>
      <c r="Q49" s="15"/>
      <c r="R49" s="15"/>
      <c r="V49" s="15"/>
    </row>
    <row r="50" spans="1:22" x14ac:dyDescent="0.4">
      <c r="A50" s="170" t="s">
        <v>12</v>
      </c>
      <c r="B50" s="3" t="s">
        <v>110</v>
      </c>
      <c r="C50" s="3" t="s">
        <v>1</v>
      </c>
      <c r="D50" s="171"/>
      <c r="E50" s="172"/>
      <c r="F50" s="173">
        <v>3410</v>
      </c>
      <c r="G50" s="173">
        <v>0</v>
      </c>
      <c r="H50" s="173">
        <v>341</v>
      </c>
      <c r="I50" s="173">
        <v>341</v>
      </c>
      <c r="J50" s="173">
        <v>3410</v>
      </c>
      <c r="K50" s="173"/>
      <c r="L50" s="15"/>
      <c r="M50" s="15"/>
      <c r="N50" s="15"/>
      <c r="O50" s="15"/>
      <c r="P50" s="15"/>
      <c r="Q50" s="15"/>
      <c r="R50" s="15"/>
      <c r="V50" s="15"/>
    </row>
    <row r="51" spans="1:22" x14ac:dyDescent="0.4">
      <c r="A51" s="170" t="s">
        <v>12</v>
      </c>
      <c r="B51" s="3" t="s">
        <v>108</v>
      </c>
      <c r="C51" s="3" t="s">
        <v>2</v>
      </c>
      <c r="D51" s="171"/>
      <c r="E51" s="172"/>
      <c r="F51" s="173">
        <v>85</v>
      </c>
      <c r="G51" s="173">
        <v>0</v>
      </c>
      <c r="H51" s="173">
        <v>85</v>
      </c>
      <c r="I51" s="173"/>
      <c r="J51" s="173"/>
      <c r="K51" s="173"/>
      <c r="L51" s="15"/>
      <c r="M51" s="15"/>
      <c r="N51" s="15"/>
      <c r="O51" s="15"/>
      <c r="P51" s="15"/>
      <c r="Q51" s="15"/>
      <c r="R51" s="15"/>
      <c r="V51" s="15"/>
    </row>
    <row r="52" spans="1:22" x14ac:dyDescent="0.4">
      <c r="A52" s="170" t="s">
        <v>12</v>
      </c>
      <c r="B52" s="3" t="s">
        <v>109</v>
      </c>
      <c r="C52" s="3" t="s">
        <v>2</v>
      </c>
      <c r="D52" s="171"/>
      <c r="E52" s="172"/>
      <c r="F52" s="173">
        <v>85</v>
      </c>
      <c r="G52" s="173">
        <v>0</v>
      </c>
      <c r="H52" s="173">
        <v>85</v>
      </c>
      <c r="I52" s="173">
        <v>85</v>
      </c>
      <c r="J52" s="173"/>
      <c r="K52" s="173"/>
      <c r="L52" s="15"/>
      <c r="M52" s="15"/>
      <c r="N52" s="15"/>
      <c r="O52" s="15"/>
      <c r="P52" s="15"/>
      <c r="Q52" s="15"/>
      <c r="R52" s="15"/>
      <c r="V52" s="15"/>
    </row>
    <row r="53" spans="1:22" x14ac:dyDescent="0.4">
      <c r="A53" s="170" t="s">
        <v>12</v>
      </c>
      <c r="B53" s="3" t="s">
        <v>110</v>
      </c>
      <c r="C53" s="3" t="s">
        <v>2</v>
      </c>
      <c r="D53" s="171"/>
      <c r="E53" s="172"/>
      <c r="F53" s="173">
        <v>341</v>
      </c>
      <c r="G53" s="173">
        <v>0</v>
      </c>
      <c r="H53" s="173">
        <v>85</v>
      </c>
      <c r="I53" s="173">
        <v>85</v>
      </c>
      <c r="J53" s="173">
        <v>341</v>
      </c>
      <c r="K53" s="173"/>
      <c r="L53" s="15"/>
      <c r="M53" s="15"/>
      <c r="N53" s="15"/>
      <c r="O53" s="15"/>
      <c r="P53" s="15"/>
      <c r="Q53" s="15"/>
      <c r="R53" s="15"/>
      <c r="V53" s="15"/>
    </row>
    <row r="54" spans="1:22" x14ac:dyDescent="0.4">
      <c r="A54" s="170" t="s">
        <v>12</v>
      </c>
      <c r="B54" s="3" t="s">
        <v>108</v>
      </c>
      <c r="C54" s="3" t="s">
        <v>0</v>
      </c>
      <c r="D54" s="171"/>
      <c r="E54" s="172"/>
      <c r="F54" s="173">
        <v>17</v>
      </c>
      <c r="G54" s="173">
        <v>0</v>
      </c>
      <c r="H54" s="173">
        <v>17</v>
      </c>
      <c r="I54" s="173"/>
      <c r="J54" s="173"/>
      <c r="K54" s="173"/>
      <c r="L54" s="15"/>
      <c r="M54" s="15"/>
      <c r="N54" s="15"/>
      <c r="O54" s="15"/>
      <c r="P54" s="15"/>
      <c r="Q54" s="15"/>
      <c r="R54" s="15"/>
      <c r="V54" s="15"/>
    </row>
    <row r="55" spans="1:22" x14ac:dyDescent="0.4">
      <c r="A55" s="170" t="s">
        <v>12</v>
      </c>
      <c r="B55" s="3" t="s">
        <v>109</v>
      </c>
      <c r="C55" s="3" t="s">
        <v>0</v>
      </c>
      <c r="D55" s="171"/>
      <c r="E55" s="172"/>
      <c r="F55" s="173">
        <v>17</v>
      </c>
      <c r="G55" s="173">
        <v>0</v>
      </c>
      <c r="H55" s="173">
        <v>17</v>
      </c>
      <c r="I55" s="173">
        <v>17</v>
      </c>
      <c r="J55" s="173"/>
      <c r="K55" s="173"/>
      <c r="L55" s="15"/>
      <c r="M55" s="15"/>
      <c r="N55" s="15"/>
      <c r="O55" s="15"/>
      <c r="P55" s="15"/>
      <c r="Q55" s="15"/>
      <c r="R55" s="15"/>
      <c r="V55" s="15"/>
    </row>
    <row r="56" spans="1:22" x14ac:dyDescent="0.4">
      <c r="A56" s="170" t="s">
        <v>12</v>
      </c>
      <c r="B56" s="3" t="s">
        <v>110</v>
      </c>
      <c r="C56" s="3" t="s">
        <v>0</v>
      </c>
      <c r="D56" s="171"/>
      <c r="E56" s="172"/>
      <c r="F56" s="173">
        <v>51</v>
      </c>
      <c r="G56" s="173">
        <v>0</v>
      </c>
      <c r="H56" s="173">
        <v>17</v>
      </c>
      <c r="I56" s="173">
        <v>17</v>
      </c>
      <c r="J56" s="173">
        <v>51</v>
      </c>
      <c r="K56" s="173"/>
      <c r="L56" s="15"/>
      <c r="M56" s="15"/>
      <c r="N56" s="15"/>
      <c r="O56" s="15"/>
      <c r="P56" s="15"/>
      <c r="Q56" s="15"/>
      <c r="R56" s="15"/>
      <c r="V56" s="15"/>
    </row>
    <row r="57" spans="1:22" x14ac:dyDescent="0.4">
      <c r="A57" s="170" t="s">
        <v>13</v>
      </c>
      <c r="B57" s="3" t="s">
        <v>108</v>
      </c>
      <c r="C57" s="3" t="s">
        <v>1</v>
      </c>
      <c r="D57" s="174" t="s">
        <v>298</v>
      </c>
      <c r="E57" s="172" t="s">
        <v>299</v>
      </c>
      <c r="F57" s="175">
        <v>13135</v>
      </c>
      <c r="G57" s="175">
        <f t="shared" ref="G57:G65" si="0">F57/2</f>
        <v>6567.5</v>
      </c>
      <c r="H57" s="175">
        <f>Tabelle4[[#This Row],[1st strength]]</f>
        <v>13135</v>
      </c>
      <c r="I57" s="175"/>
      <c r="J57" s="175"/>
      <c r="K57" s="175"/>
      <c r="L57" s="15"/>
      <c r="M57" s="15"/>
      <c r="N57" s="15"/>
      <c r="O57" s="15"/>
      <c r="P57" s="15"/>
      <c r="Q57" s="15"/>
      <c r="R57" s="15"/>
      <c r="V57" s="15"/>
    </row>
    <row r="58" spans="1:22" x14ac:dyDescent="0.4">
      <c r="A58" s="170" t="s">
        <v>13</v>
      </c>
      <c r="B58" s="3" t="s">
        <v>109</v>
      </c>
      <c r="C58" s="3" t="s">
        <v>1</v>
      </c>
      <c r="D58" s="174" t="s">
        <v>298</v>
      </c>
      <c r="E58" s="172" t="s">
        <v>300</v>
      </c>
      <c r="F58" s="175">
        <v>27365</v>
      </c>
      <c r="G58" s="175">
        <f t="shared" si="0"/>
        <v>13682.5</v>
      </c>
      <c r="H58" s="175">
        <f>F57</f>
        <v>13135</v>
      </c>
      <c r="I58" s="175">
        <f>Tabelle4[[#This Row],[1st strength]]</f>
        <v>27365</v>
      </c>
      <c r="J58" s="175"/>
      <c r="K58" s="175"/>
      <c r="L58" s="15"/>
      <c r="M58" s="15"/>
      <c r="N58" s="15"/>
      <c r="O58" s="15"/>
      <c r="P58" s="15"/>
      <c r="Q58" s="15"/>
      <c r="R58" s="15"/>
      <c r="V58" s="15"/>
    </row>
    <row r="59" spans="1:22" x14ac:dyDescent="0.4">
      <c r="A59" s="170" t="s">
        <v>13</v>
      </c>
      <c r="B59" s="3" t="s">
        <v>110</v>
      </c>
      <c r="C59" s="3" t="s">
        <v>1</v>
      </c>
      <c r="D59" s="174" t="s">
        <v>298</v>
      </c>
      <c r="E59" s="172" t="s">
        <v>301</v>
      </c>
      <c r="F59" s="175">
        <v>125870</v>
      </c>
      <c r="G59" s="175">
        <f t="shared" si="0"/>
        <v>62935</v>
      </c>
      <c r="H59" s="175">
        <f>F57</f>
        <v>13135</v>
      </c>
      <c r="I59" s="175">
        <f>F58</f>
        <v>27365</v>
      </c>
      <c r="J59" s="175">
        <f>Tabelle4[[#This Row],[1st strength]]</f>
        <v>125870</v>
      </c>
      <c r="K59" s="175"/>
      <c r="L59" s="15"/>
      <c r="M59" s="15"/>
      <c r="N59" s="15"/>
      <c r="O59" s="15"/>
      <c r="P59" s="15"/>
      <c r="Q59" s="15"/>
      <c r="R59" s="15"/>
      <c r="V59" s="15"/>
    </row>
    <row r="60" spans="1:22" x14ac:dyDescent="0.4">
      <c r="A60" s="170" t="s">
        <v>13</v>
      </c>
      <c r="B60" s="3" t="s">
        <v>108</v>
      </c>
      <c r="C60" s="3" t="s">
        <v>2</v>
      </c>
      <c r="D60" s="174" t="s">
        <v>298</v>
      </c>
      <c r="E60" s="172" t="s">
        <v>302</v>
      </c>
      <c r="F60" s="175">
        <v>4380</v>
      </c>
      <c r="G60" s="175">
        <f t="shared" si="0"/>
        <v>2190</v>
      </c>
      <c r="H60" s="175">
        <f>Tabelle4[[#This Row],[1st strength]]</f>
        <v>4380</v>
      </c>
      <c r="I60" s="175"/>
      <c r="J60" s="175"/>
      <c r="K60" s="175"/>
      <c r="L60" s="15"/>
      <c r="M60" s="15"/>
      <c r="N60" s="15"/>
      <c r="O60" s="15"/>
      <c r="P60" s="15"/>
      <c r="Q60" s="15"/>
      <c r="R60" s="15"/>
      <c r="V60" s="15"/>
    </row>
    <row r="61" spans="1:22" x14ac:dyDescent="0.4">
      <c r="A61" s="170" t="s">
        <v>13</v>
      </c>
      <c r="B61" s="3" t="s">
        <v>109</v>
      </c>
      <c r="C61" s="3" t="s">
        <v>2</v>
      </c>
      <c r="D61" s="174" t="s">
        <v>298</v>
      </c>
      <c r="E61" s="172" t="s">
        <v>303</v>
      </c>
      <c r="F61" s="175">
        <v>10945</v>
      </c>
      <c r="G61" s="175">
        <f t="shared" si="0"/>
        <v>5472.5</v>
      </c>
      <c r="H61" s="175">
        <f>F60</f>
        <v>4380</v>
      </c>
      <c r="I61" s="175">
        <f>Tabelle4[[#This Row],[1st strength]]</f>
        <v>10945</v>
      </c>
      <c r="J61" s="175"/>
      <c r="K61" s="175"/>
      <c r="L61" s="15"/>
      <c r="M61" s="15"/>
      <c r="N61" s="15"/>
      <c r="O61" s="15"/>
      <c r="P61" s="15"/>
      <c r="Q61" s="15"/>
      <c r="R61" s="15"/>
      <c r="V61" s="15"/>
    </row>
    <row r="62" spans="1:22" x14ac:dyDescent="0.4">
      <c r="A62" s="170" t="s">
        <v>13</v>
      </c>
      <c r="B62" s="3" t="s">
        <v>110</v>
      </c>
      <c r="C62" s="3" t="s">
        <v>2</v>
      </c>
      <c r="D62" s="174" t="s">
        <v>298</v>
      </c>
      <c r="E62" s="172" t="s">
        <v>304</v>
      </c>
      <c r="F62" s="175">
        <v>60200</v>
      </c>
      <c r="G62" s="175">
        <f t="shared" si="0"/>
        <v>30100</v>
      </c>
      <c r="H62" s="175">
        <f>F60</f>
        <v>4380</v>
      </c>
      <c r="I62" s="175">
        <f>F61</f>
        <v>10945</v>
      </c>
      <c r="J62" s="175">
        <f>Tabelle4[[#This Row],[1st strength]]</f>
        <v>60200</v>
      </c>
      <c r="K62" s="175"/>
      <c r="L62" s="15"/>
      <c r="M62" s="15"/>
      <c r="N62" s="15"/>
      <c r="O62" s="15"/>
      <c r="P62" s="15"/>
      <c r="Q62" s="15"/>
      <c r="R62" s="15"/>
      <c r="V62" s="15"/>
    </row>
    <row r="63" spans="1:22" x14ac:dyDescent="0.4">
      <c r="A63" s="170" t="s">
        <v>13</v>
      </c>
      <c r="B63" s="3" t="s">
        <v>108</v>
      </c>
      <c r="C63" s="3" t="s">
        <v>0</v>
      </c>
      <c r="D63" s="174" t="s">
        <v>298</v>
      </c>
      <c r="E63" s="172" t="s">
        <v>305</v>
      </c>
      <c r="F63" s="175">
        <v>6570</v>
      </c>
      <c r="G63" s="175">
        <f t="shared" si="0"/>
        <v>3285</v>
      </c>
      <c r="H63" s="175">
        <f>Tabelle4[[#This Row],[1st strength]]</f>
        <v>6570</v>
      </c>
      <c r="I63" s="175"/>
      <c r="J63" s="175"/>
      <c r="K63" s="175"/>
      <c r="L63" s="15"/>
      <c r="M63" s="15"/>
      <c r="N63" s="15"/>
      <c r="O63" s="15"/>
      <c r="P63" s="15"/>
      <c r="Q63" s="15"/>
      <c r="R63" s="15"/>
      <c r="V63" s="15"/>
    </row>
    <row r="64" spans="1:22" x14ac:dyDescent="0.4">
      <c r="A64" s="170" t="s">
        <v>13</v>
      </c>
      <c r="B64" s="3" t="s">
        <v>109</v>
      </c>
      <c r="C64" s="3" t="s">
        <v>0</v>
      </c>
      <c r="D64" s="174" t="s">
        <v>298</v>
      </c>
      <c r="E64" s="172" t="s">
        <v>306</v>
      </c>
      <c r="F64" s="175">
        <v>16420</v>
      </c>
      <c r="G64" s="175">
        <f t="shared" si="0"/>
        <v>8210</v>
      </c>
      <c r="H64" s="175">
        <f>F63</f>
        <v>6570</v>
      </c>
      <c r="I64" s="175">
        <f>Tabelle4[[#This Row],[1st strength]]</f>
        <v>16420</v>
      </c>
      <c r="J64" s="175"/>
      <c r="K64" s="175"/>
      <c r="L64" s="15"/>
      <c r="M64" s="15"/>
      <c r="N64" s="15"/>
      <c r="O64" s="15"/>
      <c r="P64" s="15"/>
      <c r="Q64" s="15"/>
      <c r="R64" s="15"/>
      <c r="V64" s="15"/>
    </row>
    <row r="65" spans="1:22" x14ac:dyDescent="0.4">
      <c r="A65" s="170" t="s">
        <v>13</v>
      </c>
      <c r="B65" s="3" t="s">
        <v>110</v>
      </c>
      <c r="C65" s="3" t="s">
        <v>0</v>
      </c>
      <c r="D65" s="174" t="s">
        <v>298</v>
      </c>
      <c r="E65" s="172" t="s">
        <v>307</v>
      </c>
      <c r="F65" s="175">
        <v>87560</v>
      </c>
      <c r="G65" s="175">
        <f t="shared" si="0"/>
        <v>43780</v>
      </c>
      <c r="H65" s="175">
        <f>F63</f>
        <v>6570</v>
      </c>
      <c r="I65" s="175">
        <f>F64</f>
        <v>16420</v>
      </c>
      <c r="J65" s="175">
        <f>Tabelle4[[#This Row],[1st strength]]</f>
        <v>87560</v>
      </c>
      <c r="K65" s="175"/>
      <c r="L65" s="15"/>
      <c r="M65" s="15"/>
      <c r="N65" s="15"/>
      <c r="O65" s="15"/>
      <c r="P65" s="15"/>
      <c r="Q65" s="15"/>
      <c r="R65" s="15"/>
      <c r="V65" s="15"/>
    </row>
    <row r="66" spans="1:22" x14ac:dyDescent="0.4">
      <c r="A66" s="170" t="s">
        <v>3</v>
      </c>
      <c r="B66" s="3" t="s">
        <v>108</v>
      </c>
      <c r="C66" s="3" t="s">
        <v>1</v>
      </c>
      <c r="D66" s="171"/>
      <c r="E66" s="172" t="s">
        <v>492</v>
      </c>
      <c r="F66" s="173">
        <v>370</v>
      </c>
      <c r="G66" s="173">
        <v>200</v>
      </c>
      <c r="H66" s="173">
        <v>300</v>
      </c>
      <c r="I66" s="173"/>
      <c r="J66" s="173"/>
      <c r="K66" s="173"/>
      <c r="L66" s="15"/>
      <c r="M66" s="15"/>
      <c r="N66" s="15"/>
      <c r="O66" s="15"/>
      <c r="P66" s="15"/>
      <c r="Q66" s="15"/>
      <c r="R66" s="15"/>
      <c r="V66" s="15"/>
    </row>
    <row r="67" spans="1:22" x14ac:dyDescent="0.4">
      <c r="A67" s="170" t="s">
        <v>3</v>
      </c>
      <c r="B67" s="3" t="s">
        <v>108</v>
      </c>
      <c r="C67" s="3" t="s">
        <v>1</v>
      </c>
      <c r="D67" s="171" t="s">
        <v>118</v>
      </c>
      <c r="E67" s="172" t="s">
        <v>494</v>
      </c>
      <c r="F67" s="173">
        <v>140</v>
      </c>
      <c r="G67" s="173">
        <v>140</v>
      </c>
      <c r="H67" s="173">
        <v>140</v>
      </c>
      <c r="I67" s="176"/>
      <c r="J67" s="176"/>
      <c r="K67" s="176"/>
      <c r="L67" s="15"/>
      <c r="M67" s="15"/>
      <c r="N67" s="15"/>
      <c r="O67" s="15"/>
      <c r="P67" s="15"/>
      <c r="Q67" s="15"/>
      <c r="R67" s="15"/>
      <c r="V67" s="15"/>
    </row>
    <row r="68" spans="1:22" x14ac:dyDescent="0.4">
      <c r="A68" s="170" t="s">
        <v>3</v>
      </c>
      <c r="B68" s="3" t="s">
        <v>109</v>
      </c>
      <c r="C68" s="3" t="s">
        <v>1</v>
      </c>
      <c r="D68" s="171"/>
      <c r="E68" s="172" t="s">
        <v>493</v>
      </c>
      <c r="F68" s="173">
        <v>1800</v>
      </c>
      <c r="G68" s="173">
        <v>900</v>
      </c>
      <c r="H68" s="173">
        <v>300</v>
      </c>
      <c r="I68" s="173">
        <v>1400</v>
      </c>
      <c r="J68" s="173"/>
      <c r="K68" s="173"/>
      <c r="L68" s="15"/>
      <c r="M68" s="15"/>
      <c r="N68" s="15"/>
      <c r="O68" s="15"/>
      <c r="P68" s="15"/>
      <c r="Q68" s="15"/>
      <c r="R68" s="15"/>
      <c r="V68" s="15"/>
    </row>
    <row r="69" spans="1:22" x14ac:dyDescent="0.4">
      <c r="A69" s="170" t="s">
        <v>3</v>
      </c>
      <c r="B69" s="3" t="s">
        <v>110</v>
      </c>
      <c r="C69" s="3" t="s">
        <v>1</v>
      </c>
      <c r="D69" s="171" t="s">
        <v>4</v>
      </c>
      <c r="E69" s="172" t="s">
        <v>495</v>
      </c>
      <c r="F69" s="173">
        <v>4300</v>
      </c>
      <c r="G69" s="173">
        <v>1900</v>
      </c>
      <c r="H69" s="173">
        <v>300</v>
      </c>
      <c r="I69" s="173">
        <v>1400</v>
      </c>
      <c r="J69" s="173">
        <v>3500</v>
      </c>
      <c r="K69" s="173"/>
      <c r="L69" s="15"/>
      <c r="M69" s="15"/>
      <c r="N69" s="15"/>
      <c r="O69" s="15"/>
      <c r="P69" s="15"/>
      <c r="Q69" s="15"/>
      <c r="R69" s="15"/>
      <c r="V69" s="15"/>
    </row>
    <row r="70" spans="1:22" x14ac:dyDescent="0.4">
      <c r="A70" s="170" t="s">
        <v>3</v>
      </c>
      <c r="B70" s="3" t="s">
        <v>110</v>
      </c>
      <c r="C70" s="3" t="s">
        <v>1</v>
      </c>
      <c r="D70" s="171" t="s">
        <v>5</v>
      </c>
      <c r="E70" s="172" t="s">
        <v>496</v>
      </c>
      <c r="F70" s="173">
        <v>7500</v>
      </c>
      <c r="G70" s="173">
        <v>2900</v>
      </c>
      <c r="H70" s="173">
        <v>300</v>
      </c>
      <c r="I70" s="173">
        <v>1400</v>
      </c>
      <c r="J70" s="173">
        <v>6000</v>
      </c>
      <c r="K70" s="173"/>
      <c r="L70" s="15"/>
      <c r="M70" s="15"/>
      <c r="N70" s="15"/>
      <c r="O70" s="15"/>
      <c r="P70" s="15"/>
      <c r="Q70" s="15"/>
      <c r="R70" s="15"/>
      <c r="V70" s="15"/>
    </row>
    <row r="71" spans="1:22" x14ac:dyDescent="0.4">
      <c r="A71" s="170" t="s">
        <v>3</v>
      </c>
      <c r="B71" s="3" t="s">
        <v>108</v>
      </c>
      <c r="C71" s="3" t="s">
        <v>2</v>
      </c>
      <c r="D71" s="171"/>
      <c r="E71" s="172" t="s">
        <v>497</v>
      </c>
      <c r="F71" s="173">
        <v>190</v>
      </c>
      <c r="G71" s="173">
        <v>120</v>
      </c>
      <c r="H71" s="173">
        <v>150</v>
      </c>
      <c r="I71" s="173"/>
      <c r="J71" s="173"/>
      <c r="K71" s="173"/>
      <c r="L71" s="15"/>
      <c r="M71" s="15"/>
      <c r="N71" s="15"/>
      <c r="O71" s="15"/>
      <c r="P71" s="15"/>
      <c r="Q71" s="15"/>
      <c r="R71" s="15"/>
      <c r="V71" s="15"/>
    </row>
    <row r="72" spans="1:22" x14ac:dyDescent="0.4">
      <c r="A72" s="170" t="s">
        <v>3</v>
      </c>
      <c r="B72" s="3" t="s">
        <v>108</v>
      </c>
      <c r="C72" s="3" t="s">
        <v>2</v>
      </c>
      <c r="D72" s="171" t="s">
        <v>118</v>
      </c>
      <c r="E72" s="172" t="s">
        <v>498</v>
      </c>
      <c r="F72" s="173">
        <v>140</v>
      </c>
      <c r="G72" s="173">
        <v>140</v>
      </c>
      <c r="H72" s="173">
        <v>140</v>
      </c>
      <c r="I72" s="176"/>
      <c r="J72" s="176"/>
      <c r="K72" s="176"/>
      <c r="L72" s="15"/>
      <c r="M72" s="15"/>
      <c r="N72" s="15"/>
      <c r="O72" s="15"/>
      <c r="P72" s="15"/>
      <c r="Q72" s="15"/>
      <c r="R72" s="15"/>
      <c r="V72" s="15"/>
    </row>
    <row r="73" spans="1:22" x14ac:dyDescent="0.4">
      <c r="A73" s="170" t="s">
        <v>3</v>
      </c>
      <c r="B73" s="3" t="s">
        <v>109</v>
      </c>
      <c r="C73" s="3" t="s">
        <v>2</v>
      </c>
      <c r="D73" s="171"/>
      <c r="E73" s="172" t="s">
        <v>499</v>
      </c>
      <c r="F73" s="173">
        <v>400</v>
      </c>
      <c r="G73" s="173">
        <v>220</v>
      </c>
      <c r="H73" s="173">
        <v>150</v>
      </c>
      <c r="I73" s="173">
        <v>320</v>
      </c>
      <c r="J73" s="173"/>
      <c r="K73" s="173"/>
      <c r="L73" s="15"/>
      <c r="M73" s="15"/>
      <c r="N73" s="15"/>
      <c r="O73" s="15"/>
      <c r="P73" s="15"/>
      <c r="Q73" s="15"/>
      <c r="R73" s="15"/>
      <c r="V73" s="15"/>
    </row>
    <row r="74" spans="1:22" x14ac:dyDescent="0.4">
      <c r="A74" s="170" t="s">
        <v>3</v>
      </c>
      <c r="B74" s="3" t="s">
        <v>110</v>
      </c>
      <c r="C74" s="3" t="s">
        <v>2</v>
      </c>
      <c r="D74" s="171" t="s">
        <v>4</v>
      </c>
      <c r="E74" s="172" t="s">
        <v>500</v>
      </c>
      <c r="F74" s="173">
        <v>1700</v>
      </c>
      <c r="G74" s="173">
        <v>1100</v>
      </c>
      <c r="H74" s="173">
        <v>150</v>
      </c>
      <c r="I74" s="173">
        <v>320</v>
      </c>
      <c r="J74" s="173">
        <v>1400</v>
      </c>
      <c r="K74" s="173"/>
      <c r="L74" s="15"/>
      <c r="M74" s="15"/>
      <c r="N74" s="15"/>
      <c r="O74" s="15"/>
      <c r="P74" s="15"/>
      <c r="Q74" s="15"/>
      <c r="R74" s="15"/>
      <c r="V74" s="15"/>
    </row>
    <row r="75" spans="1:22" x14ac:dyDescent="0.4">
      <c r="A75" s="170" t="s">
        <v>3</v>
      </c>
      <c r="B75" s="3" t="s">
        <v>110</v>
      </c>
      <c r="C75" s="3" t="s">
        <v>2</v>
      </c>
      <c r="D75" s="171" t="s">
        <v>5</v>
      </c>
      <c r="E75" s="172" t="s">
        <v>501</v>
      </c>
      <c r="F75" s="173">
        <v>2800</v>
      </c>
      <c r="G75" s="173">
        <v>1500</v>
      </c>
      <c r="H75" s="173">
        <v>150</v>
      </c>
      <c r="I75" s="173">
        <v>320</v>
      </c>
      <c r="J75" s="173">
        <v>2200</v>
      </c>
      <c r="K75" s="173"/>
      <c r="L75" s="15"/>
      <c r="M75" s="15"/>
      <c r="N75" s="15"/>
      <c r="O75" s="15"/>
      <c r="P75" s="15"/>
      <c r="Q75" s="15"/>
      <c r="R75" s="15"/>
      <c r="V75" s="15"/>
    </row>
    <row r="76" spans="1:22" x14ac:dyDescent="0.4">
      <c r="A76" s="170" t="s">
        <v>3</v>
      </c>
      <c r="B76" s="3" t="s">
        <v>108</v>
      </c>
      <c r="C76" s="3" t="s">
        <v>0</v>
      </c>
      <c r="D76" s="171"/>
      <c r="E76" s="172" t="s">
        <v>502</v>
      </c>
      <c r="F76" s="173">
        <v>250</v>
      </c>
      <c r="G76" s="173">
        <v>150</v>
      </c>
      <c r="H76" s="173">
        <v>200</v>
      </c>
      <c r="I76" s="173"/>
      <c r="J76" s="173"/>
      <c r="K76" s="173"/>
      <c r="L76" s="15"/>
      <c r="M76" s="15"/>
      <c r="N76" s="15"/>
      <c r="O76" s="15"/>
      <c r="P76" s="15"/>
      <c r="Q76" s="15"/>
      <c r="R76" s="15"/>
      <c r="V76" s="15"/>
    </row>
    <row r="77" spans="1:22" x14ac:dyDescent="0.4">
      <c r="A77" s="170" t="s">
        <v>3</v>
      </c>
      <c r="B77" s="3" t="s">
        <v>108</v>
      </c>
      <c r="C77" s="3" t="s">
        <v>0</v>
      </c>
      <c r="D77" s="171" t="s">
        <v>118</v>
      </c>
      <c r="E77" s="172" t="s">
        <v>129</v>
      </c>
      <c r="F77" s="173">
        <v>140</v>
      </c>
      <c r="G77" s="173">
        <v>140</v>
      </c>
      <c r="H77" s="173">
        <v>140</v>
      </c>
      <c r="I77" s="176"/>
      <c r="J77" s="176"/>
      <c r="K77" s="176"/>
      <c r="L77" s="15"/>
      <c r="M77" s="15"/>
      <c r="N77" s="15"/>
      <c r="O77" s="15"/>
      <c r="P77" s="15"/>
      <c r="Q77" s="15"/>
      <c r="R77" s="15"/>
      <c r="V77" s="15"/>
    </row>
    <row r="78" spans="1:22" x14ac:dyDescent="0.4">
      <c r="A78" s="170" t="s">
        <v>3</v>
      </c>
      <c r="B78" s="3" t="s">
        <v>109</v>
      </c>
      <c r="C78" s="3" t="s">
        <v>0</v>
      </c>
      <c r="D78" s="171"/>
      <c r="E78" s="172" t="s">
        <v>503</v>
      </c>
      <c r="F78" s="173">
        <v>760</v>
      </c>
      <c r="G78" s="173">
        <v>360</v>
      </c>
      <c r="H78" s="173">
        <v>200</v>
      </c>
      <c r="I78" s="173">
        <v>560</v>
      </c>
      <c r="J78" s="173"/>
      <c r="K78" s="173"/>
      <c r="L78" s="15"/>
      <c r="M78" s="15"/>
      <c r="N78" s="15"/>
      <c r="O78" s="15"/>
      <c r="P78" s="15"/>
      <c r="Q78" s="15"/>
      <c r="R78" s="15"/>
      <c r="V78" s="15"/>
    </row>
    <row r="79" spans="1:22" x14ac:dyDescent="0.4">
      <c r="A79" s="170" t="s">
        <v>3</v>
      </c>
      <c r="B79" s="3" t="s">
        <v>110</v>
      </c>
      <c r="C79" s="3" t="s">
        <v>0</v>
      </c>
      <c r="D79" s="171" t="s">
        <v>4</v>
      </c>
      <c r="E79" s="172" t="s">
        <v>504</v>
      </c>
      <c r="F79" s="173">
        <v>1600</v>
      </c>
      <c r="G79" s="173">
        <v>810</v>
      </c>
      <c r="H79" s="173">
        <v>200</v>
      </c>
      <c r="I79" s="173">
        <v>560</v>
      </c>
      <c r="J79" s="173">
        <v>1300</v>
      </c>
      <c r="K79" s="173"/>
      <c r="L79" s="15"/>
      <c r="M79" s="15"/>
      <c r="N79" s="15"/>
      <c r="O79" s="15"/>
      <c r="P79" s="15"/>
      <c r="Q79" s="15"/>
      <c r="R79" s="15"/>
      <c r="V79" s="15"/>
    </row>
    <row r="80" spans="1:22" x14ac:dyDescent="0.4">
      <c r="A80" s="170" t="s">
        <v>3</v>
      </c>
      <c r="B80" s="3" t="s">
        <v>110</v>
      </c>
      <c r="C80" s="3" t="s">
        <v>0</v>
      </c>
      <c r="D80" s="171" t="s">
        <v>5</v>
      </c>
      <c r="E80" s="172" t="s">
        <v>505</v>
      </c>
      <c r="F80" s="173">
        <v>3750</v>
      </c>
      <c r="G80" s="173">
        <v>1900</v>
      </c>
      <c r="H80" s="173">
        <v>200</v>
      </c>
      <c r="I80" s="173">
        <v>560</v>
      </c>
      <c r="J80" s="173">
        <v>3000</v>
      </c>
      <c r="K80" s="173"/>
      <c r="L80" s="15"/>
      <c r="M80" s="15"/>
      <c r="N80" s="15"/>
      <c r="O80" s="15"/>
      <c r="P80" s="15"/>
      <c r="Q80" s="15"/>
      <c r="R80" s="15"/>
      <c r="V80" s="15"/>
    </row>
    <row r="81" spans="1:22" x14ac:dyDescent="0.4">
      <c r="A81" s="170" t="s">
        <v>14</v>
      </c>
      <c r="B81" s="3" t="s">
        <v>108</v>
      </c>
      <c r="C81" s="3" t="s">
        <v>1</v>
      </c>
      <c r="D81" s="177" t="s">
        <v>297</v>
      </c>
      <c r="E81" s="172">
        <v>3102</v>
      </c>
      <c r="F81" s="178">
        <v>7879</v>
      </c>
      <c r="G81" s="178">
        <v>0</v>
      </c>
      <c r="H81" s="178"/>
      <c r="I81" s="178"/>
      <c r="J81" s="178"/>
      <c r="K81" s="178"/>
      <c r="L81" s="15"/>
      <c r="M81" s="15"/>
      <c r="N81" s="15"/>
      <c r="O81" s="15"/>
      <c r="P81" s="15"/>
      <c r="Q81" s="15"/>
      <c r="R81" s="15"/>
      <c r="V81" s="15"/>
    </row>
    <row r="82" spans="1:22" x14ac:dyDescent="0.4">
      <c r="A82" s="170" t="s">
        <v>14</v>
      </c>
      <c r="B82" s="3" t="s">
        <v>108</v>
      </c>
      <c r="C82" s="3" t="s">
        <v>1</v>
      </c>
      <c r="D82" s="177" t="s">
        <v>279</v>
      </c>
      <c r="E82" s="172" t="s">
        <v>127</v>
      </c>
      <c r="F82" s="178"/>
      <c r="G82" s="178"/>
      <c r="H82" s="178"/>
      <c r="I82" s="176"/>
      <c r="J82" s="176"/>
      <c r="K82" s="178">
        <v>10032</v>
      </c>
      <c r="L82" s="15"/>
      <c r="M82" s="15"/>
      <c r="N82" s="15"/>
      <c r="O82" s="15"/>
      <c r="P82" s="15"/>
      <c r="Q82" s="15"/>
      <c r="R82" s="15"/>
      <c r="V82" s="15"/>
    </row>
    <row r="83" spans="1:22" x14ac:dyDescent="0.4">
      <c r="A83" s="170" t="s">
        <v>14</v>
      </c>
      <c r="B83" s="3" t="s">
        <v>108</v>
      </c>
      <c r="C83" s="3" t="s">
        <v>1</v>
      </c>
      <c r="D83" s="177" t="s">
        <v>280</v>
      </c>
      <c r="E83" s="172" t="s">
        <v>217</v>
      </c>
      <c r="F83" s="178"/>
      <c r="G83" s="178"/>
      <c r="H83" s="178"/>
      <c r="I83" s="176"/>
      <c r="J83" s="176"/>
      <c r="K83" s="178">
        <v>13258</v>
      </c>
      <c r="L83" s="15"/>
      <c r="M83" s="15"/>
      <c r="N83" s="15"/>
      <c r="O83" s="15"/>
      <c r="P83" s="15"/>
      <c r="Q83" s="15"/>
      <c r="R83" s="15"/>
      <c r="V83" s="15"/>
    </row>
    <row r="84" spans="1:22" x14ac:dyDescent="0.4">
      <c r="A84" s="170" t="s">
        <v>14</v>
      </c>
      <c r="B84" s="3" t="s">
        <v>109</v>
      </c>
      <c r="C84" s="3" t="s">
        <v>1</v>
      </c>
      <c r="D84" s="177" t="s">
        <v>213</v>
      </c>
      <c r="E84" s="172">
        <v>3102</v>
      </c>
      <c r="F84" s="178">
        <v>7879</v>
      </c>
      <c r="G84" s="178">
        <v>0</v>
      </c>
      <c r="H84" s="178"/>
      <c r="I84" s="178"/>
      <c r="J84" s="178"/>
      <c r="K84" s="178"/>
      <c r="L84" s="15"/>
      <c r="M84" s="15"/>
      <c r="N84" s="15"/>
      <c r="O84" s="15"/>
      <c r="P84" s="15"/>
      <c r="Q84" s="15"/>
      <c r="R84" s="15"/>
      <c r="V84" s="15"/>
    </row>
    <row r="85" spans="1:22" x14ac:dyDescent="0.4">
      <c r="A85" s="170" t="s">
        <v>14</v>
      </c>
      <c r="B85" s="3" t="s">
        <v>109</v>
      </c>
      <c r="C85" s="3" t="s">
        <v>1</v>
      </c>
      <c r="D85" s="159" t="s">
        <v>214</v>
      </c>
      <c r="E85" s="172" t="s">
        <v>275</v>
      </c>
      <c r="F85" s="178">
        <v>19156</v>
      </c>
      <c r="G85" s="178">
        <v>0</v>
      </c>
      <c r="H85" s="178"/>
      <c r="I85" s="178"/>
      <c r="J85" s="178"/>
      <c r="K85" s="178">
        <v>32561</v>
      </c>
      <c r="L85" s="15"/>
      <c r="M85" s="15"/>
      <c r="N85" s="15"/>
      <c r="O85" s="15"/>
      <c r="P85" s="15"/>
      <c r="Q85" s="15"/>
      <c r="R85" s="15"/>
      <c r="V85" s="15"/>
    </row>
    <row r="86" spans="1:22" x14ac:dyDescent="0.4">
      <c r="A86" s="170" t="s">
        <v>14</v>
      </c>
      <c r="B86" s="3" t="s">
        <v>109</v>
      </c>
      <c r="C86" s="3" t="s">
        <v>1</v>
      </c>
      <c r="D86" s="179" t="s">
        <v>215</v>
      </c>
      <c r="E86" s="172" t="s">
        <v>276</v>
      </c>
      <c r="F86" s="178">
        <v>52135</v>
      </c>
      <c r="G86" s="178">
        <v>0</v>
      </c>
      <c r="H86" s="178"/>
      <c r="I86" s="178"/>
      <c r="J86" s="178"/>
      <c r="K86" s="178">
        <v>60478</v>
      </c>
      <c r="L86" s="15"/>
      <c r="M86" s="15"/>
      <c r="N86" s="15"/>
      <c r="O86" s="15"/>
      <c r="P86" s="15"/>
      <c r="Q86" s="15"/>
      <c r="R86" s="15"/>
      <c r="V86" s="15"/>
    </row>
    <row r="87" spans="1:22" x14ac:dyDescent="0.4">
      <c r="A87" s="170" t="s">
        <v>14</v>
      </c>
      <c r="B87" s="3" t="s">
        <v>109</v>
      </c>
      <c r="C87" s="3" t="s">
        <v>1</v>
      </c>
      <c r="D87" s="177" t="s">
        <v>216</v>
      </c>
      <c r="E87" s="172" t="s">
        <v>277</v>
      </c>
      <c r="F87" s="178">
        <v>10384</v>
      </c>
      <c r="G87" s="178">
        <v>0</v>
      </c>
      <c r="H87" s="178"/>
      <c r="I87" s="178"/>
      <c r="J87" s="178"/>
      <c r="K87" s="178">
        <v>16341</v>
      </c>
      <c r="L87" s="15"/>
      <c r="M87" s="15"/>
      <c r="N87" s="15"/>
      <c r="O87" s="15"/>
      <c r="P87" s="15"/>
      <c r="Q87" s="15"/>
      <c r="R87" s="15"/>
      <c r="V87" s="15"/>
    </row>
    <row r="88" spans="1:22" x14ac:dyDescent="0.4">
      <c r="A88" s="170" t="s">
        <v>14</v>
      </c>
      <c r="B88" s="3" t="s">
        <v>110</v>
      </c>
      <c r="C88" s="3" t="s">
        <v>1</v>
      </c>
      <c r="D88" s="177" t="s">
        <v>213</v>
      </c>
      <c r="E88" s="172">
        <v>3102</v>
      </c>
      <c r="F88" s="178">
        <v>7879</v>
      </c>
      <c r="G88" s="178">
        <v>0</v>
      </c>
      <c r="H88" s="178"/>
      <c r="I88" s="178"/>
      <c r="J88" s="178"/>
      <c r="K88" s="178"/>
      <c r="L88" s="15"/>
      <c r="M88" s="15"/>
      <c r="N88" s="15"/>
      <c r="O88" s="15"/>
      <c r="P88" s="15"/>
      <c r="Q88" s="15"/>
      <c r="R88" s="15"/>
      <c r="V88" s="15"/>
    </row>
    <row r="89" spans="1:22" x14ac:dyDescent="0.4">
      <c r="A89" s="170" t="s">
        <v>14</v>
      </c>
      <c r="B89" s="3" t="s">
        <v>110</v>
      </c>
      <c r="C89" s="3" t="s">
        <v>1</v>
      </c>
      <c r="D89" s="159" t="s">
        <v>214</v>
      </c>
      <c r="E89" s="172" t="s">
        <v>275</v>
      </c>
      <c r="F89" s="178">
        <v>19156</v>
      </c>
      <c r="G89" s="178">
        <v>0</v>
      </c>
      <c r="H89" s="178"/>
      <c r="I89" s="178"/>
      <c r="J89" s="178"/>
      <c r="K89" s="178">
        <v>32561</v>
      </c>
      <c r="L89" s="15"/>
      <c r="M89" s="15"/>
      <c r="N89" s="15"/>
      <c r="O89" s="15"/>
      <c r="P89" s="15"/>
      <c r="Q89" s="15"/>
      <c r="R89" s="15"/>
      <c r="V89" s="15"/>
    </row>
    <row r="90" spans="1:22" x14ac:dyDescent="0.4">
      <c r="A90" s="170" t="s">
        <v>14</v>
      </c>
      <c r="B90" s="3" t="s">
        <v>110</v>
      </c>
      <c r="C90" s="3" t="s">
        <v>1</v>
      </c>
      <c r="D90" s="179" t="s">
        <v>215</v>
      </c>
      <c r="E90" s="172" t="s">
        <v>276</v>
      </c>
      <c r="F90" s="178">
        <v>52135</v>
      </c>
      <c r="G90" s="178">
        <v>0</v>
      </c>
      <c r="H90" s="178"/>
      <c r="I90" s="178"/>
      <c r="J90" s="178"/>
      <c r="K90" s="178">
        <v>60478</v>
      </c>
      <c r="L90" s="15"/>
      <c r="M90" s="15"/>
      <c r="N90" s="15"/>
      <c r="O90" s="15"/>
      <c r="P90" s="15"/>
      <c r="Q90" s="15"/>
      <c r="R90" s="15"/>
      <c r="V90" s="15"/>
    </row>
    <row r="91" spans="1:22" x14ac:dyDescent="0.4">
      <c r="A91" s="170" t="s">
        <v>14</v>
      </c>
      <c r="B91" s="3" t="s">
        <v>110</v>
      </c>
      <c r="C91" s="3" t="s">
        <v>1</v>
      </c>
      <c r="D91" s="177" t="s">
        <v>216</v>
      </c>
      <c r="E91" s="172" t="s">
        <v>278</v>
      </c>
      <c r="F91" s="178">
        <v>18370</v>
      </c>
      <c r="G91" s="178">
        <v>0</v>
      </c>
      <c r="H91" s="178"/>
      <c r="I91" s="178"/>
      <c r="J91" s="178"/>
      <c r="K91" s="178">
        <v>28328</v>
      </c>
      <c r="L91" s="15"/>
      <c r="M91" s="15"/>
      <c r="N91" s="15"/>
      <c r="O91" s="15"/>
      <c r="P91" s="15"/>
      <c r="Q91" s="15"/>
      <c r="R91" s="15"/>
      <c r="V91" s="15"/>
    </row>
    <row r="92" spans="1:22" x14ac:dyDescent="0.4">
      <c r="A92" s="170" t="s">
        <v>14</v>
      </c>
      <c r="B92" s="3" t="s">
        <v>108</v>
      </c>
      <c r="C92" s="3" t="s">
        <v>2</v>
      </c>
      <c r="D92" s="177" t="s">
        <v>297</v>
      </c>
      <c r="E92" s="172">
        <v>3103</v>
      </c>
      <c r="F92" s="178">
        <v>1782</v>
      </c>
      <c r="G92" s="178">
        <v>0</v>
      </c>
      <c r="H92" s="178"/>
      <c r="I92" s="178"/>
      <c r="J92" s="178"/>
      <c r="K92" s="178"/>
      <c r="L92" s="15"/>
      <c r="M92" s="15"/>
      <c r="N92" s="15"/>
      <c r="O92" s="15"/>
      <c r="P92" s="15"/>
      <c r="Q92" s="15"/>
      <c r="R92" s="15"/>
      <c r="V92" s="15"/>
    </row>
    <row r="93" spans="1:22" x14ac:dyDescent="0.4">
      <c r="A93" s="170" t="s">
        <v>14</v>
      </c>
      <c r="B93" s="3" t="s">
        <v>108</v>
      </c>
      <c r="C93" s="3" t="s">
        <v>2</v>
      </c>
      <c r="D93" s="177" t="s">
        <v>279</v>
      </c>
      <c r="E93" s="172" t="s">
        <v>128</v>
      </c>
      <c r="F93" s="176"/>
      <c r="G93" s="176"/>
      <c r="H93" s="176"/>
      <c r="I93" s="176"/>
      <c r="J93" s="176"/>
      <c r="K93" s="178">
        <v>2316</v>
      </c>
      <c r="L93" s="15"/>
      <c r="M93" s="15"/>
      <c r="N93" s="15"/>
      <c r="O93" s="15"/>
      <c r="P93" s="15"/>
      <c r="Q93" s="15"/>
      <c r="R93" s="15"/>
      <c r="V93" s="15"/>
    </row>
    <row r="94" spans="1:22" x14ac:dyDescent="0.4">
      <c r="A94" s="170" t="s">
        <v>14</v>
      </c>
      <c r="B94" s="3" t="s">
        <v>108</v>
      </c>
      <c r="C94" s="3" t="s">
        <v>2</v>
      </c>
      <c r="D94" s="177" t="s">
        <v>280</v>
      </c>
      <c r="E94" s="172" t="s">
        <v>218</v>
      </c>
      <c r="F94" s="176"/>
      <c r="G94" s="176"/>
      <c r="H94" s="176"/>
      <c r="I94" s="176"/>
      <c r="J94" s="176"/>
      <c r="K94" s="178">
        <v>3120</v>
      </c>
      <c r="L94" s="15"/>
      <c r="M94" s="15"/>
      <c r="N94" s="15"/>
      <c r="O94" s="15"/>
      <c r="P94" s="15"/>
      <c r="Q94" s="15"/>
      <c r="R94" s="15"/>
      <c r="V94" s="15"/>
    </row>
    <row r="95" spans="1:22" x14ac:dyDescent="0.4">
      <c r="A95" s="170" t="s">
        <v>14</v>
      </c>
      <c r="B95" s="3" t="s">
        <v>109</v>
      </c>
      <c r="C95" s="3" t="s">
        <v>2</v>
      </c>
      <c r="D95" s="177" t="s">
        <v>213</v>
      </c>
      <c r="E95" s="172">
        <v>3103</v>
      </c>
      <c r="F95" s="178">
        <v>1782</v>
      </c>
      <c r="G95" s="178">
        <v>0</v>
      </c>
      <c r="H95" s="178"/>
      <c r="I95" s="178"/>
      <c r="J95" s="178"/>
      <c r="K95" s="178"/>
      <c r="L95" s="15"/>
      <c r="M95" s="15"/>
      <c r="N95" s="15"/>
      <c r="O95" s="15"/>
      <c r="P95" s="15"/>
      <c r="Q95" s="15"/>
      <c r="R95" s="15"/>
      <c r="V95" s="15"/>
    </row>
    <row r="96" spans="1:22" x14ac:dyDescent="0.4">
      <c r="A96" s="170" t="s">
        <v>14</v>
      </c>
      <c r="B96" s="3" t="s">
        <v>109</v>
      </c>
      <c r="C96" s="3" t="s">
        <v>2</v>
      </c>
      <c r="D96" s="159" t="s">
        <v>214</v>
      </c>
      <c r="E96" s="172" t="s">
        <v>282</v>
      </c>
      <c r="F96" s="178">
        <v>1782</v>
      </c>
      <c r="G96" s="178">
        <v>0</v>
      </c>
      <c r="H96" s="178"/>
      <c r="I96" s="178"/>
      <c r="J96" s="178"/>
      <c r="K96" s="178">
        <v>3120</v>
      </c>
      <c r="L96" s="15"/>
      <c r="M96" s="15"/>
      <c r="N96" s="15"/>
      <c r="O96" s="15"/>
      <c r="P96" s="15"/>
      <c r="Q96" s="15"/>
      <c r="R96" s="15"/>
      <c r="V96" s="15"/>
    </row>
    <row r="97" spans="1:22" x14ac:dyDescent="0.4">
      <c r="A97" s="170" t="s">
        <v>14</v>
      </c>
      <c r="B97" s="3" t="s">
        <v>109</v>
      </c>
      <c r="C97" s="3" t="s">
        <v>2</v>
      </c>
      <c r="D97" s="179" t="s">
        <v>215</v>
      </c>
      <c r="E97" s="172" t="s">
        <v>283</v>
      </c>
      <c r="F97" s="178">
        <v>1782</v>
      </c>
      <c r="G97" s="178">
        <v>0</v>
      </c>
      <c r="H97" s="178"/>
      <c r="I97" s="178"/>
      <c r="J97" s="178"/>
      <c r="K97" s="178">
        <v>6316</v>
      </c>
      <c r="L97" s="15"/>
      <c r="M97" s="15"/>
      <c r="N97" s="15"/>
      <c r="O97" s="15"/>
      <c r="P97" s="15"/>
      <c r="Q97" s="15"/>
      <c r="R97" s="15"/>
      <c r="V97" s="15"/>
    </row>
    <row r="98" spans="1:22" x14ac:dyDescent="0.4">
      <c r="A98" s="170" t="s">
        <v>14</v>
      </c>
      <c r="B98" s="3" t="s">
        <v>109</v>
      </c>
      <c r="C98" s="3" t="s">
        <v>2</v>
      </c>
      <c r="D98" s="177" t="s">
        <v>216</v>
      </c>
      <c r="E98" s="172" t="s">
        <v>284</v>
      </c>
      <c r="F98" s="178">
        <v>5555</v>
      </c>
      <c r="G98" s="178">
        <v>0</v>
      </c>
      <c r="H98" s="178"/>
      <c r="I98" s="178"/>
      <c r="J98" s="178"/>
      <c r="K98" s="178">
        <v>8760</v>
      </c>
      <c r="L98" s="15"/>
      <c r="M98" s="15"/>
      <c r="N98" s="15"/>
      <c r="O98" s="15"/>
      <c r="P98" s="15"/>
      <c r="Q98" s="15"/>
      <c r="R98" s="15"/>
      <c r="V98" s="15"/>
    </row>
    <row r="99" spans="1:22" x14ac:dyDescent="0.4">
      <c r="A99" s="170" t="s">
        <v>14</v>
      </c>
      <c r="B99" s="3" t="s">
        <v>110</v>
      </c>
      <c r="C99" s="3" t="s">
        <v>2</v>
      </c>
      <c r="D99" s="177" t="s">
        <v>213</v>
      </c>
      <c r="E99" s="172" t="s">
        <v>281</v>
      </c>
      <c r="F99" s="178">
        <v>1782</v>
      </c>
      <c r="G99" s="178">
        <v>0</v>
      </c>
      <c r="H99" s="178"/>
      <c r="I99" s="178"/>
      <c r="J99" s="178"/>
      <c r="K99" s="178"/>
      <c r="L99" s="15"/>
      <c r="M99" s="15"/>
      <c r="N99" s="15"/>
      <c r="O99" s="15"/>
      <c r="P99" s="15"/>
      <c r="Q99" s="15"/>
      <c r="R99" s="15"/>
      <c r="V99" s="15"/>
    </row>
    <row r="100" spans="1:22" x14ac:dyDescent="0.4">
      <c r="A100" s="170" t="s">
        <v>14</v>
      </c>
      <c r="B100" s="3" t="s">
        <v>110</v>
      </c>
      <c r="C100" s="3" t="s">
        <v>2</v>
      </c>
      <c r="D100" s="159" t="s">
        <v>214</v>
      </c>
      <c r="E100" s="172" t="s">
        <v>282</v>
      </c>
      <c r="F100" s="178">
        <v>1782</v>
      </c>
      <c r="G100" s="178">
        <v>0</v>
      </c>
      <c r="H100" s="178"/>
      <c r="I100" s="178"/>
      <c r="J100" s="178"/>
      <c r="K100" s="178">
        <v>3120</v>
      </c>
      <c r="L100" s="15"/>
      <c r="M100" s="15"/>
      <c r="N100" s="15"/>
      <c r="O100" s="15"/>
      <c r="P100" s="15"/>
      <c r="Q100" s="15"/>
      <c r="R100" s="15"/>
      <c r="V100" s="15"/>
    </row>
    <row r="101" spans="1:22" x14ac:dyDescent="0.4">
      <c r="A101" s="170" t="s">
        <v>14</v>
      </c>
      <c r="B101" s="3" t="s">
        <v>110</v>
      </c>
      <c r="C101" s="3" t="s">
        <v>2</v>
      </c>
      <c r="D101" s="179" t="s">
        <v>215</v>
      </c>
      <c r="E101" s="172" t="s">
        <v>283</v>
      </c>
      <c r="F101" s="178">
        <v>1782</v>
      </c>
      <c r="G101" s="178">
        <v>0</v>
      </c>
      <c r="H101" s="178"/>
      <c r="I101" s="178"/>
      <c r="J101" s="178"/>
      <c r="K101" s="178">
        <v>6316</v>
      </c>
      <c r="L101" s="15"/>
      <c r="M101" s="15"/>
      <c r="N101" s="15"/>
      <c r="O101" s="15"/>
      <c r="P101" s="15"/>
      <c r="Q101" s="15"/>
      <c r="R101" s="15"/>
      <c r="V101" s="15"/>
    </row>
    <row r="102" spans="1:22" x14ac:dyDescent="0.4">
      <c r="A102" s="170" t="s">
        <v>14</v>
      </c>
      <c r="B102" s="3" t="s">
        <v>110</v>
      </c>
      <c r="C102" s="3" t="s">
        <v>2</v>
      </c>
      <c r="D102" s="177" t="s">
        <v>216</v>
      </c>
      <c r="E102" s="172" t="s">
        <v>284</v>
      </c>
      <c r="F102" s="178">
        <v>5555</v>
      </c>
      <c r="G102" s="178">
        <v>0</v>
      </c>
      <c r="H102" s="178"/>
      <c r="I102" s="178"/>
      <c r="J102" s="178"/>
      <c r="K102" s="178">
        <v>8760</v>
      </c>
      <c r="L102" s="15"/>
      <c r="M102" s="15"/>
      <c r="N102" s="15"/>
      <c r="O102" s="15"/>
      <c r="P102" s="15"/>
      <c r="Q102" s="15"/>
      <c r="R102" s="15"/>
      <c r="V102" s="15"/>
    </row>
    <row r="103" spans="1:22" x14ac:dyDescent="0.4">
      <c r="A103" s="170" t="s">
        <v>14</v>
      </c>
      <c r="B103" s="3" t="s">
        <v>108</v>
      </c>
      <c r="C103" s="3" t="s">
        <v>0</v>
      </c>
      <c r="D103" s="177" t="s">
        <v>297</v>
      </c>
      <c r="E103" s="172">
        <v>3101</v>
      </c>
      <c r="F103" s="178">
        <v>2431</v>
      </c>
      <c r="G103" s="178">
        <v>0</v>
      </c>
      <c r="H103" s="178"/>
      <c r="I103" s="178"/>
      <c r="J103" s="178"/>
      <c r="K103" s="178"/>
      <c r="L103" s="15"/>
      <c r="M103" s="15"/>
      <c r="N103" s="15"/>
      <c r="O103" s="15"/>
      <c r="P103" s="15"/>
      <c r="Q103" s="15"/>
      <c r="R103" s="15"/>
      <c r="V103" s="15"/>
    </row>
    <row r="104" spans="1:22" x14ac:dyDescent="0.4">
      <c r="A104" s="170" t="s">
        <v>14</v>
      </c>
      <c r="B104" s="3" t="s">
        <v>108</v>
      </c>
      <c r="C104" s="3" t="s">
        <v>0</v>
      </c>
      <c r="D104" s="177" t="s">
        <v>279</v>
      </c>
      <c r="E104" s="172" t="s">
        <v>126</v>
      </c>
      <c r="F104" s="178"/>
      <c r="G104" s="178"/>
      <c r="H104" s="176"/>
      <c r="I104" s="176"/>
      <c r="J104" s="176"/>
      <c r="K104" s="178">
        <v>2966</v>
      </c>
      <c r="L104" s="15"/>
      <c r="M104" s="15"/>
      <c r="N104" s="15"/>
      <c r="O104" s="15"/>
      <c r="P104" s="15"/>
      <c r="Q104" s="15"/>
      <c r="R104" s="15"/>
      <c r="V104" s="15"/>
    </row>
    <row r="105" spans="1:22" x14ac:dyDescent="0.4">
      <c r="A105" s="170" t="s">
        <v>14</v>
      </c>
      <c r="B105" s="3" t="s">
        <v>108</v>
      </c>
      <c r="C105" s="3" t="s">
        <v>0</v>
      </c>
      <c r="D105" s="177" t="s">
        <v>280</v>
      </c>
      <c r="E105" s="172" t="s">
        <v>219</v>
      </c>
      <c r="F105" s="178"/>
      <c r="G105" s="178"/>
      <c r="H105" s="176"/>
      <c r="I105" s="176"/>
      <c r="J105" s="176"/>
      <c r="K105" s="178">
        <v>3767</v>
      </c>
      <c r="L105" s="15"/>
      <c r="M105" s="15"/>
      <c r="N105" s="15"/>
      <c r="O105" s="15"/>
      <c r="P105" s="15"/>
      <c r="Q105" s="15"/>
      <c r="R105" s="15"/>
      <c r="V105" s="15"/>
    </row>
    <row r="106" spans="1:22" x14ac:dyDescent="0.4">
      <c r="A106" s="170" t="s">
        <v>14</v>
      </c>
      <c r="B106" s="3" t="s">
        <v>109</v>
      </c>
      <c r="C106" s="3" t="s">
        <v>0</v>
      </c>
      <c r="D106" s="177" t="s">
        <v>213</v>
      </c>
      <c r="E106" s="172">
        <v>3101</v>
      </c>
      <c r="F106" s="178">
        <v>2431</v>
      </c>
      <c r="G106" s="178">
        <v>0</v>
      </c>
      <c r="H106" s="178"/>
      <c r="I106" s="178"/>
      <c r="J106" s="178"/>
      <c r="K106" s="178"/>
      <c r="L106" s="15"/>
      <c r="M106" s="15"/>
      <c r="N106" s="15"/>
      <c r="O106" s="15"/>
      <c r="P106" s="15"/>
      <c r="Q106" s="15"/>
      <c r="R106" s="15"/>
      <c r="V106" s="15"/>
    </row>
    <row r="107" spans="1:22" x14ac:dyDescent="0.4">
      <c r="A107" s="170" t="s">
        <v>14</v>
      </c>
      <c r="B107" s="3" t="s">
        <v>109</v>
      </c>
      <c r="C107" s="3" t="s">
        <v>0</v>
      </c>
      <c r="D107" s="159" t="s">
        <v>214</v>
      </c>
      <c r="E107" s="172" t="s">
        <v>285</v>
      </c>
      <c r="F107" s="178">
        <v>12281</v>
      </c>
      <c r="G107" s="178">
        <v>0</v>
      </c>
      <c r="H107" s="178"/>
      <c r="I107" s="178"/>
      <c r="J107" s="178"/>
      <c r="K107" s="178">
        <v>25576</v>
      </c>
      <c r="L107" s="15"/>
      <c r="M107" s="15"/>
      <c r="N107" s="15"/>
      <c r="O107" s="15"/>
      <c r="P107" s="15"/>
      <c r="Q107" s="15"/>
      <c r="R107" s="15"/>
      <c r="V107" s="15"/>
    </row>
    <row r="108" spans="1:22" x14ac:dyDescent="0.4">
      <c r="A108" s="170" t="s">
        <v>14</v>
      </c>
      <c r="B108" s="3" t="s">
        <v>109</v>
      </c>
      <c r="C108" s="3" t="s">
        <v>0</v>
      </c>
      <c r="D108" s="179" t="s">
        <v>215</v>
      </c>
      <c r="E108" s="172" t="s">
        <v>287</v>
      </c>
      <c r="F108" s="178">
        <v>46003</v>
      </c>
      <c r="G108" s="178">
        <v>0</v>
      </c>
      <c r="H108" s="178"/>
      <c r="I108" s="178"/>
      <c r="J108" s="178"/>
      <c r="K108" s="178">
        <v>51546</v>
      </c>
      <c r="L108" s="15"/>
      <c r="M108" s="15"/>
      <c r="N108" s="15"/>
      <c r="O108" s="15"/>
      <c r="P108" s="15"/>
      <c r="Q108" s="15"/>
      <c r="R108" s="15"/>
      <c r="V108" s="15"/>
    </row>
    <row r="109" spans="1:22" x14ac:dyDescent="0.4">
      <c r="A109" s="170" t="s">
        <v>14</v>
      </c>
      <c r="B109" s="3" t="s">
        <v>109</v>
      </c>
      <c r="C109" s="3" t="s">
        <v>0</v>
      </c>
      <c r="D109" s="177" t="s">
        <v>216</v>
      </c>
      <c r="E109" s="172" t="s">
        <v>286</v>
      </c>
      <c r="F109" s="178">
        <v>9543</v>
      </c>
      <c r="G109" s="178">
        <v>0</v>
      </c>
      <c r="H109" s="178"/>
      <c r="I109" s="178"/>
      <c r="J109" s="178"/>
      <c r="K109" s="178">
        <v>16287</v>
      </c>
      <c r="L109" s="15"/>
      <c r="M109" s="15"/>
      <c r="N109" s="15"/>
      <c r="O109" s="15"/>
      <c r="P109" s="15"/>
      <c r="Q109" s="15"/>
      <c r="R109" s="15"/>
      <c r="V109" s="15"/>
    </row>
    <row r="110" spans="1:22" x14ac:dyDescent="0.4">
      <c r="A110" s="170" t="s">
        <v>14</v>
      </c>
      <c r="B110" s="3" t="s">
        <v>110</v>
      </c>
      <c r="C110" s="3" t="s">
        <v>0</v>
      </c>
      <c r="D110" s="177" t="s">
        <v>213</v>
      </c>
      <c r="E110" s="172">
        <v>3101</v>
      </c>
      <c r="F110" s="178">
        <v>2431</v>
      </c>
      <c r="G110" s="178">
        <v>0</v>
      </c>
      <c r="H110" s="178"/>
      <c r="I110" s="178"/>
      <c r="J110" s="178"/>
      <c r="K110" s="178"/>
      <c r="L110" s="15"/>
      <c r="M110" s="15"/>
      <c r="N110" s="15"/>
      <c r="O110" s="15"/>
      <c r="P110" s="15"/>
      <c r="Q110" s="15"/>
      <c r="R110" s="15"/>
      <c r="V110" s="15"/>
    </row>
    <row r="111" spans="1:22" x14ac:dyDescent="0.4">
      <c r="A111" s="170" t="s">
        <v>14</v>
      </c>
      <c r="B111" s="3" t="s">
        <v>110</v>
      </c>
      <c r="C111" s="3" t="s">
        <v>0</v>
      </c>
      <c r="D111" s="159" t="s">
        <v>214</v>
      </c>
      <c r="E111" s="172" t="s">
        <v>285</v>
      </c>
      <c r="F111" s="178">
        <v>12281</v>
      </c>
      <c r="G111" s="178">
        <v>0</v>
      </c>
      <c r="H111" s="178"/>
      <c r="I111" s="178"/>
      <c r="J111" s="178"/>
      <c r="K111" s="178">
        <v>25576</v>
      </c>
      <c r="L111" s="15"/>
      <c r="M111" s="15"/>
      <c r="N111" s="15"/>
      <c r="O111" s="15"/>
      <c r="P111" s="15"/>
      <c r="Q111" s="15"/>
      <c r="R111" s="15"/>
      <c r="V111" s="15"/>
    </row>
    <row r="112" spans="1:22" x14ac:dyDescent="0.4">
      <c r="A112" s="170" t="s">
        <v>14</v>
      </c>
      <c r="B112" s="3" t="s">
        <v>110</v>
      </c>
      <c r="C112" s="3" t="s">
        <v>0</v>
      </c>
      <c r="D112" s="179" t="s">
        <v>215</v>
      </c>
      <c r="E112" s="172" t="s">
        <v>287</v>
      </c>
      <c r="F112" s="178">
        <v>46003</v>
      </c>
      <c r="G112" s="178">
        <v>0</v>
      </c>
      <c r="H112" s="178"/>
      <c r="I112" s="178"/>
      <c r="J112" s="178"/>
      <c r="K112" s="178">
        <v>51546</v>
      </c>
      <c r="L112" s="15"/>
      <c r="M112" s="15"/>
      <c r="N112" s="15"/>
      <c r="O112" s="15"/>
      <c r="P112" s="15"/>
      <c r="Q112" s="15"/>
      <c r="R112" s="15"/>
      <c r="V112" s="15"/>
    </row>
    <row r="113" spans="1:22" x14ac:dyDescent="0.4">
      <c r="A113" s="170" t="s">
        <v>14</v>
      </c>
      <c r="B113" s="3" t="s">
        <v>110</v>
      </c>
      <c r="C113" s="3" t="s">
        <v>0</v>
      </c>
      <c r="D113" s="177" t="s">
        <v>216</v>
      </c>
      <c r="E113" s="172" t="s">
        <v>288</v>
      </c>
      <c r="F113" s="178">
        <v>23768</v>
      </c>
      <c r="G113" s="178">
        <v>0</v>
      </c>
      <c r="H113" s="178"/>
      <c r="I113" s="178"/>
      <c r="J113" s="178"/>
      <c r="K113" s="178">
        <v>29285</v>
      </c>
      <c r="L113" s="15"/>
      <c r="M113" s="15"/>
      <c r="N113" s="15"/>
      <c r="O113" s="15"/>
      <c r="P113" s="15"/>
      <c r="Q113" s="15"/>
      <c r="R113" s="15"/>
      <c r="V113" s="15"/>
    </row>
    <row r="114" spans="1:22" x14ac:dyDescent="0.4">
      <c r="A114" s="170" t="s">
        <v>15</v>
      </c>
      <c r="B114" s="3" t="s">
        <v>108</v>
      </c>
      <c r="C114" s="3" t="s">
        <v>1</v>
      </c>
      <c r="D114" s="177" t="s">
        <v>119</v>
      </c>
      <c r="E114" s="172"/>
      <c r="F114" s="173">
        <v>500</v>
      </c>
      <c r="G114" s="173">
        <v>0</v>
      </c>
      <c r="H114" s="173">
        <v>500</v>
      </c>
      <c r="I114" s="173"/>
      <c r="J114" s="173"/>
      <c r="K114" s="173"/>
      <c r="L114" s="15"/>
      <c r="M114" s="15"/>
      <c r="N114" s="15"/>
      <c r="O114" s="15"/>
      <c r="P114" s="15"/>
      <c r="Q114" s="15"/>
      <c r="R114" s="15"/>
      <c r="V114" s="15"/>
    </row>
    <row r="115" spans="1:22" x14ac:dyDescent="0.4">
      <c r="A115" s="170" t="s">
        <v>15</v>
      </c>
      <c r="B115" s="3" t="s">
        <v>109</v>
      </c>
      <c r="C115" s="3" t="s">
        <v>1</v>
      </c>
      <c r="D115" s="177" t="s">
        <v>119</v>
      </c>
      <c r="E115" s="172"/>
      <c r="F115" s="173">
        <v>750</v>
      </c>
      <c r="G115" s="173">
        <v>0</v>
      </c>
      <c r="H115" s="173">
        <v>500</v>
      </c>
      <c r="I115" s="173">
        <v>750</v>
      </c>
      <c r="J115" s="173"/>
      <c r="K115" s="173"/>
      <c r="L115" s="15"/>
      <c r="M115" s="15"/>
      <c r="N115" s="15"/>
      <c r="O115" s="15"/>
      <c r="P115" s="15"/>
      <c r="Q115" s="15"/>
      <c r="R115" s="15"/>
      <c r="V115" s="15"/>
    </row>
    <row r="116" spans="1:22" x14ac:dyDescent="0.4">
      <c r="A116" s="170" t="s">
        <v>15</v>
      </c>
      <c r="B116" s="3" t="s">
        <v>110</v>
      </c>
      <c r="C116" s="3" t="s">
        <v>1</v>
      </c>
      <c r="D116" s="177" t="s">
        <v>119</v>
      </c>
      <c r="E116" s="172"/>
      <c r="F116" s="173">
        <v>1800</v>
      </c>
      <c r="G116" s="173">
        <v>0</v>
      </c>
      <c r="H116" s="173">
        <v>500</v>
      </c>
      <c r="I116" s="173">
        <v>750</v>
      </c>
      <c r="J116" s="173">
        <v>1800</v>
      </c>
      <c r="K116" s="173"/>
      <c r="L116" s="15"/>
      <c r="M116" s="15"/>
      <c r="N116" s="15"/>
      <c r="O116" s="15"/>
      <c r="P116" s="15"/>
      <c r="Q116" s="15"/>
      <c r="R116" s="15"/>
      <c r="V116" s="15"/>
    </row>
    <row r="117" spans="1:22" x14ac:dyDescent="0.4">
      <c r="A117" s="170" t="s">
        <v>15</v>
      </c>
      <c r="B117" s="3" t="s">
        <v>108</v>
      </c>
      <c r="C117" s="3" t="s">
        <v>2</v>
      </c>
      <c r="D117" s="177" t="s">
        <v>119</v>
      </c>
      <c r="E117" s="172"/>
      <c r="F117" s="173">
        <v>100</v>
      </c>
      <c r="G117" s="173">
        <v>0</v>
      </c>
      <c r="H117" s="173">
        <v>100</v>
      </c>
      <c r="I117" s="173"/>
      <c r="J117" s="173"/>
      <c r="K117" s="173"/>
      <c r="L117" s="15"/>
      <c r="M117" s="15"/>
      <c r="N117" s="15"/>
      <c r="O117" s="15"/>
      <c r="P117" s="15"/>
      <c r="Q117" s="15"/>
      <c r="R117" s="15"/>
      <c r="V117" s="15"/>
    </row>
    <row r="118" spans="1:22" x14ac:dyDescent="0.4">
      <c r="A118" s="170" t="s">
        <v>15</v>
      </c>
      <c r="B118" s="3" t="s">
        <v>109</v>
      </c>
      <c r="C118" s="3" t="s">
        <v>2</v>
      </c>
      <c r="D118" s="177" t="s">
        <v>119</v>
      </c>
      <c r="E118" s="172"/>
      <c r="F118" s="173">
        <v>150</v>
      </c>
      <c r="G118" s="173">
        <v>0</v>
      </c>
      <c r="H118" s="173">
        <v>100</v>
      </c>
      <c r="I118" s="173">
        <v>150</v>
      </c>
      <c r="J118" s="173"/>
      <c r="K118" s="173"/>
      <c r="L118" s="15"/>
      <c r="M118" s="15"/>
      <c r="N118" s="15"/>
      <c r="O118" s="15"/>
      <c r="P118" s="15"/>
      <c r="Q118" s="15"/>
      <c r="R118" s="15"/>
      <c r="V118" s="15"/>
    </row>
    <row r="119" spans="1:22" x14ac:dyDescent="0.4">
      <c r="A119" s="170" t="s">
        <v>15</v>
      </c>
      <c r="B119" s="3" t="s">
        <v>110</v>
      </c>
      <c r="C119" s="3" t="s">
        <v>2</v>
      </c>
      <c r="D119" s="177" t="s">
        <v>119</v>
      </c>
      <c r="E119" s="172"/>
      <c r="F119" s="173">
        <v>400</v>
      </c>
      <c r="G119" s="173">
        <v>0</v>
      </c>
      <c r="H119" s="173">
        <v>100</v>
      </c>
      <c r="I119" s="173">
        <v>150</v>
      </c>
      <c r="J119" s="173">
        <v>400</v>
      </c>
      <c r="K119" s="173"/>
      <c r="L119" s="15"/>
      <c r="M119" s="15"/>
      <c r="N119" s="15"/>
      <c r="O119" s="15"/>
      <c r="P119" s="15"/>
      <c r="Q119" s="15"/>
      <c r="R119" s="15"/>
      <c r="V119" s="15"/>
    </row>
    <row r="120" spans="1:22" x14ac:dyDescent="0.4">
      <c r="A120" s="170" t="s">
        <v>15</v>
      </c>
      <c r="B120" s="3" t="s">
        <v>108</v>
      </c>
      <c r="C120" s="3" t="s">
        <v>0</v>
      </c>
      <c r="D120" s="177" t="s">
        <v>119</v>
      </c>
      <c r="E120" s="172"/>
      <c r="F120" s="173">
        <v>100</v>
      </c>
      <c r="G120" s="173">
        <v>0</v>
      </c>
      <c r="H120" s="173">
        <v>100</v>
      </c>
      <c r="I120" s="173"/>
      <c r="J120" s="173"/>
      <c r="K120" s="173"/>
      <c r="L120" s="15"/>
      <c r="M120" s="15"/>
      <c r="N120" s="15"/>
      <c r="O120" s="15"/>
      <c r="P120" s="15"/>
      <c r="Q120" s="15"/>
      <c r="R120" s="15"/>
      <c r="V120" s="15"/>
    </row>
    <row r="121" spans="1:22" x14ac:dyDescent="0.4">
      <c r="A121" s="170" t="s">
        <v>15</v>
      </c>
      <c r="B121" s="3" t="s">
        <v>109</v>
      </c>
      <c r="C121" s="3" t="s">
        <v>0</v>
      </c>
      <c r="D121" s="177" t="s">
        <v>119</v>
      </c>
      <c r="E121" s="172"/>
      <c r="F121" s="173">
        <v>150</v>
      </c>
      <c r="G121" s="173">
        <v>0</v>
      </c>
      <c r="H121" s="173">
        <v>100</v>
      </c>
      <c r="I121" s="173">
        <v>150</v>
      </c>
      <c r="J121" s="173"/>
      <c r="K121" s="173"/>
      <c r="L121" s="15"/>
      <c r="M121" s="15"/>
      <c r="N121" s="15"/>
      <c r="O121" s="15"/>
      <c r="P121" s="15"/>
      <c r="Q121" s="15"/>
      <c r="R121" s="15"/>
      <c r="V121" s="15"/>
    </row>
    <row r="122" spans="1:22" x14ac:dyDescent="0.4">
      <c r="A122" s="170" t="s">
        <v>15</v>
      </c>
      <c r="B122" s="3" t="s">
        <v>110</v>
      </c>
      <c r="C122" s="3" t="s">
        <v>0</v>
      </c>
      <c r="D122" s="177" t="s">
        <v>119</v>
      </c>
      <c r="E122" s="172"/>
      <c r="F122" s="173">
        <v>400</v>
      </c>
      <c r="G122" s="173">
        <v>0</v>
      </c>
      <c r="H122" s="173">
        <v>100</v>
      </c>
      <c r="I122" s="173">
        <v>150</v>
      </c>
      <c r="J122" s="173">
        <v>400</v>
      </c>
      <c r="K122" s="173"/>
      <c r="L122" s="15"/>
      <c r="M122" s="15"/>
      <c r="N122" s="15"/>
      <c r="O122" s="15"/>
      <c r="P122" s="15"/>
      <c r="Q122" s="15"/>
      <c r="R122" s="15"/>
      <c r="V122" s="15"/>
    </row>
    <row r="123" spans="1:22" x14ac:dyDescent="0.4">
      <c r="A123" s="170" t="s">
        <v>21</v>
      </c>
      <c r="B123" s="3" t="s">
        <v>108</v>
      </c>
      <c r="C123" s="3" t="s">
        <v>1</v>
      </c>
      <c r="D123" s="171"/>
      <c r="E123" s="172"/>
      <c r="F123" s="173">
        <v>1024</v>
      </c>
      <c r="G123" s="173">
        <v>1024</v>
      </c>
      <c r="H123" s="173">
        <v>1024</v>
      </c>
      <c r="I123" s="173"/>
      <c r="J123" s="173"/>
      <c r="K123" s="173"/>
      <c r="L123" s="15"/>
      <c r="M123" s="15"/>
      <c r="N123" s="15"/>
      <c r="O123" s="15"/>
      <c r="P123" s="15"/>
      <c r="Q123" s="15"/>
      <c r="R123" s="15"/>
      <c r="V123" s="15"/>
    </row>
    <row r="124" spans="1:22" x14ac:dyDescent="0.4">
      <c r="A124" s="170" t="s">
        <v>21</v>
      </c>
      <c r="B124" s="3" t="s">
        <v>109</v>
      </c>
      <c r="C124" s="3" t="s">
        <v>1</v>
      </c>
      <c r="D124" s="171"/>
      <c r="E124" s="172"/>
      <c r="F124" s="173">
        <v>2048</v>
      </c>
      <c r="G124" s="173">
        <v>2048</v>
      </c>
      <c r="H124" s="173">
        <v>1024</v>
      </c>
      <c r="I124" s="173">
        <v>2048</v>
      </c>
      <c r="J124" s="173"/>
      <c r="K124" s="173"/>
      <c r="L124" s="15"/>
      <c r="M124" s="15"/>
      <c r="N124" s="15"/>
      <c r="O124" s="15"/>
      <c r="P124" s="15"/>
      <c r="Q124" s="15"/>
      <c r="R124" s="15"/>
      <c r="V124" s="15"/>
    </row>
    <row r="125" spans="1:22" x14ac:dyDescent="0.4">
      <c r="A125" s="170" t="s">
        <v>21</v>
      </c>
      <c r="B125" s="3" t="s">
        <v>110</v>
      </c>
      <c r="C125" s="3" t="s">
        <v>1</v>
      </c>
      <c r="D125" s="171"/>
      <c r="E125" s="172"/>
      <c r="F125" s="173">
        <v>3072</v>
      </c>
      <c r="G125" s="173">
        <v>3072</v>
      </c>
      <c r="H125" s="173">
        <v>1024</v>
      </c>
      <c r="I125" s="173">
        <v>2048</v>
      </c>
      <c r="J125" s="173">
        <v>3072</v>
      </c>
      <c r="K125" s="173"/>
      <c r="L125" s="15"/>
      <c r="M125" s="15"/>
      <c r="N125" s="15"/>
      <c r="O125" s="15"/>
      <c r="P125" s="15"/>
      <c r="Q125" s="15"/>
      <c r="R125" s="15"/>
      <c r="V125" s="15"/>
    </row>
    <row r="126" spans="1:22" x14ac:dyDescent="0.4">
      <c r="A126" s="170" t="s">
        <v>21</v>
      </c>
      <c r="B126" s="3" t="s">
        <v>110</v>
      </c>
      <c r="C126" s="3" t="s">
        <v>1</v>
      </c>
      <c r="D126" s="171" t="s">
        <v>22</v>
      </c>
      <c r="E126" s="172"/>
      <c r="F126" s="173">
        <v>10240</v>
      </c>
      <c r="G126" s="173">
        <v>10240</v>
      </c>
      <c r="H126" s="173">
        <v>1024</v>
      </c>
      <c r="I126" s="173">
        <v>2048</v>
      </c>
      <c r="J126" s="173">
        <v>10240</v>
      </c>
      <c r="K126" s="173"/>
      <c r="L126" s="15"/>
      <c r="M126" s="15"/>
      <c r="N126" s="15"/>
      <c r="O126" s="15"/>
      <c r="P126" s="15"/>
      <c r="Q126" s="15"/>
      <c r="R126" s="15"/>
      <c r="V126" s="15"/>
    </row>
    <row r="127" spans="1:22" x14ac:dyDescent="0.4">
      <c r="A127" s="170" t="s">
        <v>21</v>
      </c>
      <c r="B127" s="3" t="s">
        <v>108</v>
      </c>
      <c r="C127" s="3" t="s">
        <v>2</v>
      </c>
      <c r="D127" s="171"/>
      <c r="E127" s="172"/>
      <c r="F127" s="173">
        <v>512</v>
      </c>
      <c r="G127" s="173">
        <v>512</v>
      </c>
      <c r="H127" s="173">
        <v>512</v>
      </c>
      <c r="I127" s="173"/>
      <c r="J127" s="173"/>
      <c r="K127" s="173"/>
      <c r="L127" s="15"/>
      <c r="M127" s="15"/>
      <c r="N127" s="15"/>
      <c r="O127" s="15"/>
      <c r="P127" s="15"/>
      <c r="Q127" s="15"/>
      <c r="R127" s="15"/>
      <c r="V127" s="15"/>
    </row>
    <row r="128" spans="1:22" x14ac:dyDescent="0.4">
      <c r="A128" s="170" t="s">
        <v>21</v>
      </c>
      <c r="B128" s="3" t="s">
        <v>109</v>
      </c>
      <c r="C128" s="3" t="s">
        <v>2</v>
      </c>
      <c r="D128" s="171"/>
      <c r="E128" s="172"/>
      <c r="F128" s="173">
        <v>1024</v>
      </c>
      <c r="G128" s="173">
        <v>1024</v>
      </c>
      <c r="H128" s="173">
        <v>512</v>
      </c>
      <c r="I128" s="173">
        <v>1024</v>
      </c>
      <c r="J128" s="173"/>
      <c r="K128" s="173"/>
      <c r="L128" s="15"/>
      <c r="M128" s="15"/>
      <c r="N128" s="15"/>
      <c r="O128" s="15"/>
      <c r="P128" s="15"/>
      <c r="Q128" s="15"/>
      <c r="R128" s="15"/>
      <c r="V128" s="15"/>
    </row>
    <row r="129" spans="1:22" x14ac:dyDescent="0.4">
      <c r="A129" s="170" t="s">
        <v>21</v>
      </c>
      <c r="B129" s="3" t="s">
        <v>110</v>
      </c>
      <c r="C129" s="3" t="s">
        <v>2</v>
      </c>
      <c r="D129" s="171"/>
      <c r="E129" s="172"/>
      <c r="F129" s="173">
        <v>2048</v>
      </c>
      <c r="G129" s="173">
        <v>2048</v>
      </c>
      <c r="H129" s="173">
        <v>512</v>
      </c>
      <c r="I129" s="173">
        <v>1024</v>
      </c>
      <c r="J129" s="173">
        <v>2048</v>
      </c>
      <c r="K129" s="173"/>
      <c r="L129" s="15"/>
      <c r="M129" s="15"/>
      <c r="N129" s="15"/>
      <c r="O129" s="15"/>
      <c r="P129" s="15"/>
      <c r="Q129" s="15"/>
      <c r="R129" s="15"/>
      <c r="V129" s="15"/>
    </row>
    <row r="130" spans="1:22" x14ac:dyDescent="0.4">
      <c r="A130" s="170" t="s">
        <v>21</v>
      </c>
      <c r="B130" s="3" t="s">
        <v>110</v>
      </c>
      <c r="C130" s="3" t="s">
        <v>2</v>
      </c>
      <c r="D130" s="171" t="s">
        <v>22</v>
      </c>
      <c r="E130" s="172"/>
      <c r="F130" s="173">
        <v>5120</v>
      </c>
      <c r="G130" s="173">
        <v>5120</v>
      </c>
      <c r="H130" s="173">
        <v>512</v>
      </c>
      <c r="I130" s="173">
        <v>1024</v>
      </c>
      <c r="J130" s="173">
        <v>5120</v>
      </c>
      <c r="K130" s="173"/>
      <c r="L130" s="15"/>
      <c r="M130" s="15"/>
      <c r="N130" s="15"/>
      <c r="O130" s="15"/>
      <c r="P130" s="15"/>
      <c r="Q130" s="15"/>
      <c r="R130" s="15"/>
      <c r="V130" s="15"/>
    </row>
    <row r="131" spans="1:22" x14ac:dyDescent="0.4">
      <c r="A131" s="170" t="s">
        <v>21</v>
      </c>
      <c r="B131" s="3" t="s">
        <v>108</v>
      </c>
      <c r="C131" s="3" t="s">
        <v>0</v>
      </c>
      <c r="D131" s="171"/>
      <c r="E131" s="172"/>
      <c r="F131" s="173">
        <v>512</v>
      </c>
      <c r="G131" s="173">
        <v>512</v>
      </c>
      <c r="H131" s="173">
        <v>512</v>
      </c>
      <c r="I131" s="173"/>
      <c r="J131" s="173"/>
      <c r="K131" s="173"/>
      <c r="L131" s="15"/>
      <c r="M131" s="15"/>
      <c r="N131" s="15"/>
      <c r="O131" s="15"/>
      <c r="P131" s="15"/>
      <c r="Q131" s="15"/>
      <c r="R131" s="15"/>
      <c r="V131" s="15"/>
    </row>
    <row r="132" spans="1:22" x14ac:dyDescent="0.4">
      <c r="A132" s="170" t="s">
        <v>21</v>
      </c>
      <c r="B132" s="3" t="s">
        <v>109</v>
      </c>
      <c r="C132" s="3" t="s">
        <v>0</v>
      </c>
      <c r="D132" s="171"/>
      <c r="E132" s="172"/>
      <c r="F132" s="173">
        <v>1024</v>
      </c>
      <c r="G132" s="173">
        <v>1024</v>
      </c>
      <c r="H132" s="173">
        <v>512</v>
      </c>
      <c r="I132" s="173">
        <v>1024</v>
      </c>
      <c r="J132" s="173"/>
      <c r="K132" s="173"/>
      <c r="L132" s="15"/>
      <c r="M132" s="15"/>
      <c r="N132" s="15"/>
      <c r="O132" s="15"/>
      <c r="P132" s="15"/>
      <c r="Q132" s="15"/>
      <c r="R132" s="15"/>
      <c r="V132" s="15"/>
    </row>
    <row r="133" spans="1:22" x14ac:dyDescent="0.4">
      <c r="A133" s="170" t="s">
        <v>21</v>
      </c>
      <c r="B133" s="3" t="s">
        <v>110</v>
      </c>
      <c r="C133" s="3" t="s">
        <v>0</v>
      </c>
      <c r="D133" s="171"/>
      <c r="E133" s="172"/>
      <c r="F133" s="173">
        <v>2048</v>
      </c>
      <c r="G133" s="173">
        <v>2048</v>
      </c>
      <c r="H133" s="173">
        <v>512</v>
      </c>
      <c r="I133" s="173">
        <v>1024</v>
      </c>
      <c r="J133" s="173">
        <v>2048</v>
      </c>
      <c r="K133" s="173"/>
      <c r="L133" s="15"/>
      <c r="M133" s="15"/>
      <c r="N133" s="15"/>
      <c r="O133" s="15"/>
      <c r="P133" s="15"/>
      <c r="Q133" s="15"/>
      <c r="R133" s="15"/>
      <c r="V133" s="15"/>
    </row>
    <row r="134" spans="1:22" x14ac:dyDescent="0.4">
      <c r="A134" s="170" t="s">
        <v>21</v>
      </c>
      <c r="B134" s="3" t="s">
        <v>110</v>
      </c>
      <c r="C134" s="3" t="s">
        <v>0</v>
      </c>
      <c r="D134" s="171" t="s">
        <v>22</v>
      </c>
      <c r="E134" s="172"/>
      <c r="F134" s="173">
        <v>5120</v>
      </c>
      <c r="G134" s="173">
        <v>5120</v>
      </c>
      <c r="H134" s="173">
        <v>512</v>
      </c>
      <c r="I134" s="173">
        <v>1024</v>
      </c>
      <c r="J134" s="173">
        <v>5120</v>
      </c>
      <c r="K134" s="173"/>
      <c r="L134" s="15"/>
      <c r="M134" s="15"/>
      <c r="N134" s="15"/>
      <c r="O134" s="15"/>
      <c r="P134" s="15"/>
      <c r="Q134" s="15"/>
      <c r="R134" s="15"/>
      <c r="V134" s="15"/>
    </row>
    <row r="135" spans="1:22" x14ac:dyDescent="0.4">
      <c r="A135" s="170" t="s">
        <v>23</v>
      </c>
      <c r="B135" s="3" t="s">
        <v>108</v>
      </c>
      <c r="C135" s="3" t="s">
        <v>1</v>
      </c>
      <c r="D135" s="180" t="s">
        <v>528</v>
      </c>
      <c r="E135" s="172"/>
      <c r="F135" s="173">
        <f>F153/4+F153</f>
        <v>0</v>
      </c>
      <c r="G135" s="173">
        <f>G153/4+G153</f>
        <v>0</v>
      </c>
      <c r="H135" s="173">
        <f>F135</f>
        <v>0</v>
      </c>
      <c r="I135" s="173"/>
      <c r="J135" s="173"/>
      <c r="K135" s="173"/>
      <c r="L135" s="15"/>
      <c r="M135" s="15"/>
      <c r="N135" s="15"/>
      <c r="O135" s="15"/>
      <c r="P135" s="15"/>
      <c r="Q135" s="15"/>
      <c r="R135" s="15"/>
      <c r="V135" s="15"/>
    </row>
    <row r="136" spans="1:22" x14ac:dyDescent="0.4">
      <c r="A136" s="170" t="s">
        <v>23</v>
      </c>
      <c r="B136" s="3" t="s">
        <v>108</v>
      </c>
      <c r="C136" s="3" t="s">
        <v>1</v>
      </c>
      <c r="D136" s="171" t="s">
        <v>9</v>
      </c>
      <c r="E136" s="172" t="s">
        <v>509</v>
      </c>
      <c r="F136" s="173">
        <f>F154/4+F154</f>
        <v>413.86249999999995</v>
      </c>
      <c r="G136" s="173">
        <f t="shared" ref="G136:G142" si="1">F136*0.3</f>
        <v>124.15874999999998</v>
      </c>
      <c r="H136" s="173">
        <f>$F$136</f>
        <v>413.86249999999995</v>
      </c>
      <c r="I136" s="173"/>
      <c r="J136" s="173"/>
      <c r="K136" s="173"/>
      <c r="L136" s="15"/>
      <c r="M136" s="15"/>
      <c r="N136" s="15"/>
      <c r="O136" s="15"/>
      <c r="P136" s="15"/>
      <c r="Q136" s="15"/>
      <c r="R136" s="15"/>
      <c r="V136" s="15"/>
    </row>
    <row r="137" spans="1:22" x14ac:dyDescent="0.4">
      <c r="A137" s="170" t="s">
        <v>23</v>
      </c>
      <c r="B137" s="3" t="s">
        <v>109</v>
      </c>
      <c r="C137" s="3" t="s">
        <v>1</v>
      </c>
      <c r="D137" s="180" t="s">
        <v>526</v>
      </c>
      <c r="E137" s="172" t="s">
        <v>508</v>
      </c>
      <c r="F137" s="173">
        <f>$F$155/4+$F$155</f>
        <v>2511.0749999999998</v>
      </c>
      <c r="G137" s="173">
        <f>$F$137*0.3</f>
        <v>753.32249999999988</v>
      </c>
      <c r="H137" s="173">
        <f>$F$135</f>
        <v>0</v>
      </c>
      <c r="I137" s="173">
        <f>$F$137</f>
        <v>2511.0749999999998</v>
      </c>
      <c r="J137" s="173"/>
      <c r="K137" s="173"/>
      <c r="L137" s="15"/>
      <c r="M137" s="15"/>
      <c r="N137" s="15"/>
      <c r="O137" s="15"/>
      <c r="P137" s="15"/>
      <c r="Q137" s="15"/>
      <c r="R137" s="15"/>
      <c r="V137" s="15"/>
    </row>
    <row r="138" spans="1:22" x14ac:dyDescent="0.4">
      <c r="A138" s="170" t="s">
        <v>23</v>
      </c>
      <c r="B138" s="3" t="s">
        <v>109</v>
      </c>
      <c r="C138" s="3" t="s">
        <v>1</v>
      </c>
      <c r="D138" s="181" t="s">
        <v>527</v>
      </c>
      <c r="E138" s="172" t="s">
        <v>508</v>
      </c>
      <c r="F138" s="173">
        <f>$F$155/4+$F$155</f>
        <v>2511.0749999999998</v>
      </c>
      <c r="G138" s="173">
        <f>$F$137*0.3</f>
        <v>753.32249999999988</v>
      </c>
      <c r="H138" s="173">
        <f>$F$135</f>
        <v>0</v>
      </c>
      <c r="I138" s="173">
        <f>$F$137</f>
        <v>2511.0749999999998</v>
      </c>
      <c r="J138" s="176"/>
      <c r="K138" s="176"/>
      <c r="L138" s="15"/>
      <c r="M138" s="15"/>
      <c r="N138" s="15"/>
      <c r="O138" s="15"/>
      <c r="P138" s="15"/>
      <c r="Q138" s="15"/>
      <c r="R138" s="15"/>
      <c r="V138" s="15"/>
    </row>
    <row r="139" spans="1:22" x14ac:dyDescent="0.4">
      <c r="A139" s="170" t="s">
        <v>23</v>
      </c>
      <c r="B139" s="3" t="s">
        <v>109</v>
      </c>
      <c r="C139" s="3" t="s">
        <v>1</v>
      </c>
      <c r="D139" s="171" t="s">
        <v>9</v>
      </c>
      <c r="E139" s="172" t="s">
        <v>509</v>
      </c>
      <c r="F139" s="173">
        <f>F157/4+F157</f>
        <v>413.86249999999995</v>
      </c>
      <c r="G139" s="173">
        <f t="shared" si="1"/>
        <v>124.15874999999998</v>
      </c>
      <c r="H139" s="173">
        <f>$F$136</f>
        <v>413.86249999999995</v>
      </c>
      <c r="I139" s="173">
        <f>$F$139</f>
        <v>413.86249999999995</v>
      </c>
      <c r="J139" s="173"/>
      <c r="K139" s="173"/>
      <c r="L139" s="15"/>
      <c r="M139" s="15"/>
      <c r="N139" s="15"/>
      <c r="O139" s="15"/>
      <c r="P139" s="15"/>
      <c r="Q139" s="15"/>
      <c r="R139" s="15"/>
      <c r="V139" s="15"/>
    </row>
    <row r="140" spans="1:22" x14ac:dyDescent="0.4">
      <c r="A140" s="170" t="s">
        <v>23</v>
      </c>
      <c r="B140" s="3" t="s">
        <v>110</v>
      </c>
      <c r="C140" s="3" t="s">
        <v>1</v>
      </c>
      <c r="D140" s="180" t="s">
        <v>526</v>
      </c>
      <c r="E140" s="172" t="s">
        <v>510</v>
      </c>
      <c r="F140" s="173">
        <f>$F$158/4+$F$158</f>
        <v>4386.3249999999998</v>
      </c>
      <c r="G140" s="173">
        <f>$F$140*0.3</f>
        <v>1315.8974999999998</v>
      </c>
      <c r="H140" s="173">
        <f>$F$135</f>
        <v>0</v>
      </c>
      <c r="I140" s="173">
        <f>$F$137</f>
        <v>2511.0749999999998</v>
      </c>
      <c r="J140" s="173">
        <f>$F$140</f>
        <v>4386.3249999999998</v>
      </c>
      <c r="K140" s="173"/>
      <c r="L140" s="15"/>
      <c r="M140" s="15"/>
      <c r="N140" s="15"/>
      <c r="O140" s="15"/>
      <c r="P140" s="15"/>
      <c r="Q140" s="15"/>
      <c r="R140" s="15"/>
      <c r="V140" s="15"/>
    </row>
    <row r="141" spans="1:22" x14ac:dyDescent="0.4">
      <c r="A141" s="170" t="s">
        <v>23</v>
      </c>
      <c r="B141" s="3" t="s">
        <v>110</v>
      </c>
      <c r="C141" s="3" t="s">
        <v>1</v>
      </c>
      <c r="D141" s="181" t="s">
        <v>527</v>
      </c>
      <c r="E141" s="172" t="s">
        <v>510</v>
      </c>
      <c r="F141" s="173">
        <f>$F$158/4+$F$158</f>
        <v>4386.3249999999998</v>
      </c>
      <c r="G141" s="173">
        <f>$F$140*0.3</f>
        <v>1315.8974999999998</v>
      </c>
      <c r="H141" s="173">
        <f>$F$135</f>
        <v>0</v>
      </c>
      <c r="I141" s="173">
        <f>$F$137</f>
        <v>2511.0749999999998</v>
      </c>
      <c r="J141" s="173">
        <f>$F$140</f>
        <v>4386.3249999999998</v>
      </c>
      <c r="K141" s="176"/>
      <c r="L141" s="15"/>
      <c r="M141" s="15"/>
      <c r="N141" s="15"/>
      <c r="O141" s="15"/>
      <c r="P141" s="15"/>
      <c r="Q141" s="15"/>
      <c r="R141" s="15"/>
      <c r="V141" s="15"/>
    </row>
    <row r="142" spans="1:22" x14ac:dyDescent="0.4">
      <c r="A142" s="170" t="s">
        <v>23</v>
      </c>
      <c r="B142" s="3" t="s">
        <v>110</v>
      </c>
      <c r="C142" s="3" t="s">
        <v>1</v>
      </c>
      <c r="D142" s="171" t="s">
        <v>9</v>
      </c>
      <c r="E142" s="172" t="s">
        <v>509</v>
      </c>
      <c r="F142" s="173">
        <f t="shared" ref="F142" si="2">F160/4+F160</f>
        <v>413.86249999999995</v>
      </c>
      <c r="G142" s="173">
        <f t="shared" si="1"/>
        <v>124.15874999999998</v>
      </c>
      <c r="H142" s="173">
        <f>$F$136</f>
        <v>413.86249999999995</v>
      </c>
      <c r="I142" s="173">
        <f>$F$139</f>
        <v>413.86249999999995</v>
      </c>
      <c r="J142" s="173">
        <f>$F$142</f>
        <v>413.86249999999995</v>
      </c>
      <c r="K142" s="173"/>
      <c r="L142" s="15"/>
      <c r="M142" s="15"/>
      <c r="N142" s="15"/>
      <c r="O142" s="15"/>
      <c r="P142" s="15"/>
      <c r="Q142" s="15"/>
      <c r="R142" s="15"/>
      <c r="V142" s="15"/>
    </row>
    <row r="143" spans="1:22" x14ac:dyDescent="0.4">
      <c r="A143" s="170" t="s">
        <v>23</v>
      </c>
      <c r="B143" s="3" t="s">
        <v>108</v>
      </c>
      <c r="C143" s="3" t="s">
        <v>2</v>
      </c>
      <c r="D143" s="180" t="s">
        <v>528</v>
      </c>
      <c r="E143" s="172"/>
      <c r="F143" s="173">
        <v>0</v>
      </c>
      <c r="G143" s="173">
        <v>0</v>
      </c>
      <c r="H143" s="173">
        <v>0</v>
      </c>
      <c r="I143" s="173"/>
      <c r="J143" s="173"/>
      <c r="K143" s="173"/>
      <c r="L143" s="15"/>
      <c r="M143" s="15"/>
      <c r="N143" s="15"/>
      <c r="O143" s="15"/>
      <c r="P143" s="15"/>
      <c r="Q143" s="15"/>
      <c r="R143" s="15"/>
      <c r="V143" s="15"/>
    </row>
    <row r="144" spans="1:22" x14ac:dyDescent="0.4">
      <c r="A144" s="170" t="s">
        <v>23</v>
      </c>
      <c r="B144" s="3" t="s">
        <v>108</v>
      </c>
      <c r="C144" s="3" t="s">
        <v>2</v>
      </c>
      <c r="D144" s="171" t="s">
        <v>36</v>
      </c>
      <c r="E144" s="172"/>
      <c r="F144" s="173">
        <v>0</v>
      </c>
      <c r="G144" s="173">
        <v>0</v>
      </c>
      <c r="H144" s="173">
        <v>0</v>
      </c>
      <c r="I144" s="176"/>
      <c r="J144" s="176"/>
      <c r="K144" s="176"/>
      <c r="L144" s="15"/>
      <c r="M144" s="15"/>
      <c r="N144" s="15"/>
      <c r="O144" s="15"/>
      <c r="P144" s="15"/>
      <c r="Q144" s="15"/>
      <c r="R144" s="15"/>
      <c r="V144" s="15"/>
    </row>
    <row r="145" spans="1:22" x14ac:dyDescent="0.4">
      <c r="A145" s="170" t="s">
        <v>23</v>
      </c>
      <c r="B145" s="3" t="s">
        <v>108</v>
      </c>
      <c r="C145" s="3" t="s">
        <v>2</v>
      </c>
      <c r="D145" s="171" t="s">
        <v>9</v>
      </c>
      <c r="E145" s="172" t="s">
        <v>509</v>
      </c>
      <c r="F145" s="173">
        <v>331.09</v>
      </c>
      <c r="G145" s="173">
        <f>F145*0.3</f>
        <v>99.326999999999984</v>
      </c>
      <c r="H145" s="173">
        <f>$F$145</f>
        <v>331.09</v>
      </c>
      <c r="I145" s="173">
        <f>$F$145</f>
        <v>331.09</v>
      </c>
      <c r="J145" s="173"/>
      <c r="K145" s="173"/>
      <c r="L145" s="15"/>
      <c r="M145" s="15"/>
      <c r="N145" s="15"/>
      <c r="O145" s="15"/>
      <c r="P145" s="15"/>
      <c r="Q145" s="15"/>
      <c r="R145" s="15"/>
      <c r="V145" s="15"/>
    </row>
    <row r="146" spans="1:22" x14ac:dyDescent="0.4">
      <c r="A146" s="170" t="s">
        <v>23</v>
      </c>
      <c r="B146" s="3" t="s">
        <v>109</v>
      </c>
      <c r="C146" s="3" t="s">
        <v>2</v>
      </c>
      <c r="D146" s="180" t="s">
        <v>526</v>
      </c>
      <c r="E146" s="172" t="s">
        <v>508</v>
      </c>
      <c r="F146" s="173">
        <v>2008.86</v>
      </c>
      <c r="G146" s="173">
        <f>F146*0.3</f>
        <v>602.6579999999999</v>
      </c>
      <c r="H146" s="173">
        <v>0</v>
      </c>
      <c r="I146" s="173">
        <f>$F$146</f>
        <v>2008.86</v>
      </c>
      <c r="J146" s="173"/>
      <c r="K146" s="173"/>
      <c r="L146" s="15"/>
      <c r="M146" s="15"/>
      <c r="N146" s="15"/>
      <c r="O146" s="15"/>
      <c r="P146" s="15"/>
      <c r="Q146" s="15"/>
      <c r="R146" s="15"/>
      <c r="V146" s="15"/>
    </row>
    <row r="147" spans="1:22" x14ac:dyDescent="0.4">
      <c r="A147" s="170" t="s">
        <v>23</v>
      </c>
      <c r="B147" s="3" t="s">
        <v>109</v>
      </c>
      <c r="C147" s="3" t="s">
        <v>2</v>
      </c>
      <c r="D147" s="181" t="s">
        <v>527</v>
      </c>
      <c r="E147" s="172" t="s">
        <v>508</v>
      </c>
      <c r="F147" s="173">
        <f>F146</f>
        <v>2008.86</v>
      </c>
      <c r="G147" s="173">
        <f>G146</f>
        <v>602.6579999999999</v>
      </c>
      <c r="H147" s="173">
        <f>H146</f>
        <v>0</v>
      </c>
      <c r="I147" s="173">
        <f>I146</f>
        <v>2008.86</v>
      </c>
      <c r="J147" s="173"/>
      <c r="K147" s="173"/>
      <c r="L147" s="15"/>
      <c r="M147" s="15"/>
      <c r="N147" s="15"/>
      <c r="O147" s="15"/>
      <c r="P147" s="15"/>
      <c r="Q147" s="15"/>
      <c r="R147" s="15"/>
      <c r="V147" s="15"/>
    </row>
    <row r="148" spans="1:22" x14ac:dyDescent="0.4">
      <c r="A148" s="170" t="s">
        <v>23</v>
      </c>
      <c r="B148" s="3" t="s">
        <v>108</v>
      </c>
      <c r="C148" s="3" t="s">
        <v>2</v>
      </c>
      <c r="D148" s="171" t="s">
        <v>36</v>
      </c>
      <c r="E148" s="172"/>
      <c r="F148" s="173">
        <v>0</v>
      </c>
      <c r="G148" s="173">
        <v>0</v>
      </c>
      <c r="H148" s="173">
        <v>0</v>
      </c>
      <c r="I148" s="173">
        <v>0</v>
      </c>
      <c r="J148" s="176"/>
      <c r="K148" s="176"/>
      <c r="L148" s="15"/>
      <c r="M148" s="15"/>
      <c r="N148" s="15"/>
      <c r="O148" s="15"/>
      <c r="P148" s="15"/>
      <c r="Q148" s="15"/>
      <c r="R148" s="15"/>
      <c r="V148" s="15"/>
    </row>
    <row r="149" spans="1:22" x14ac:dyDescent="0.4">
      <c r="A149" s="170" t="s">
        <v>23</v>
      </c>
      <c r="B149" s="3" t="s">
        <v>109</v>
      </c>
      <c r="C149" s="3" t="s">
        <v>2</v>
      </c>
      <c r="D149" s="171" t="s">
        <v>9</v>
      </c>
      <c r="E149" s="172" t="s">
        <v>509</v>
      </c>
      <c r="F149" s="173">
        <v>331.09</v>
      </c>
      <c r="G149" s="173">
        <f t="shared" ref="G149:G152" si="3">F149*0.3</f>
        <v>99.326999999999984</v>
      </c>
      <c r="H149" s="173">
        <f>$F$145</f>
        <v>331.09</v>
      </c>
      <c r="I149" s="173">
        <f>$F$145</f>
        <v>331.09</v>
      </c>
      <c r="J149" s="173"/>
      <c r="K149" s="173"/>
      <c r="L149" s="15"/>
      <c r="M149" s="15"/>
      <c r="N149" s="15"/>
      <c r="O149" s="15"/>
      <c r="P149" s="15"/>
      <c r="Q149" s="15"/>
      <c r="R149" s="15"/>
      <c r="V149" s="15"/>
    </row>
    <row r="150" spans="1:22" x14ac:dyDescent="0.4">
      <c r="A150" s="170" t="s">
        <v>23</v>
      </c>
      <c r="B150" s="3" t="s">
        <v>110</v>
      </c>
      <c r="C150" s="3" t="s">
        <v>2</v>
      </c>
      <c r="D150" s="180" t="s">
        <v>526</v>
      </c>
      <c r="E150" s="172" t="s">
        <v>510</v>
      </c>
      <c r="F150" s="173">
        <v>3509.06</v>
      </c>
      <c r="G150" s="173">
        <f t="shared" si="3"/>
        <v>1052.7179999999998</v>
      </c>
      <c r="H150" s="173">
        <v>0</v>
      </c>
      <c r="I150" s="173">
        <f>$F$146</f>
        <v>2008.86</v>
      </c>
      <c r="J150" s="173">
        <f>$F$150</f>
        <v>3509.06</v>
      </c>
      <c r="K150" s="173"/>
      <c r="L150" s="15"/>
      <c r="M150" s="15"/>
      <c r="N150" s="15"/>
      <c r="O150" s="15"/>
      <c r="P150" s="15"/>
      <c r="Q150" s="15"/>
      <c r="R150" s="15"/>
      <c r="V150" s="15"/>
    </row>
    <row r="151" spans="1:22" x14ac:dyDescent="0.4">
      <c r="A151" s="170" t="s">
        <v>23</v>
      </c>
      <c r="B151" s="3" t="s">
        <v>110</v>
      </c>
      <c r="C151" s="3" t="s">
        <v>2</v>
      </c>
      <c r="D151" s="181" t="s">
        <v>527</v>
      </c>
      <c r="E151" s="172" t="s">
        <v>510</v>
      </c>
      <c r="F151" s="173">
        <f>F150</f>
        <v>3509.06</v>
      </c>
      <c r="G151" s="173">
        <f t="shared" ref="G151:J151" si="4">G150</f>
        <v>1052.7179999999998</v>
      </c>
      <c r="H151" s="173">
        <f t="shared" si="4"/>
        <v>0</v>
      </c>
      <c r="I151" s="173">
        <f t="shared" si="4"/>
        <v>2008.86</v>
      </c>
      <c r="J151" s="173">
        <f t="shared" si="4"/>
        <v>3509.06</v>
      </c>
      <c r="K151" s="176"/>
      <c r="L151" s="15"/>
      <c r="M151" s="15"/>
      <c r="N151" s="15"/>
      <c r="O151" s="15"/>
      <c r="P151" s="15"/>
      <c r="Q151" s="15"/>
      <c r="R151" s="15"/>
      <c r="V151" s="15"/>
    </row>
    <row r="152" spans="1:22" x14ac:dyDescent="0.4">
      <c r="A152" s="170" t="s">
        <v>23</v>
      </c>
      <c r="B152" s="3" t="s">
        <v>110</v>
      </c>
      <c r="C152" s="3" t="s">
        <v>2</v>
      </c>
      <c r="D152" s="171" t="s">
        <v>9</v>
      </c>
      <c r="E152" s="172" t="s">
        <v>509</v>
      </c>
      <c r="F152" s="173">
        <v>331.09</v>
      </c>
      <c r="G152" s="173">
        <f t="shared" si="3"/>
        <v>99.326999999999984</v>
      </c>
      <c r="H152" s="173">
        <f>$F$145</f>
        <v>331.09</v>
      </c>
      <c r="I152" s="173">
        <f>$F$149</f>
        <v>331.09</v>
      </c>
      <c r="J152" s="173">
        <f>$F$152</f>
        <v>331.09</v>
      </c>
      <c r="K152" s="173"/>
      <c r="L152" s="15"/>
      <c r="M152" s="15"/>
      <c r="N152" s="15"/>
      <c r="O152" s="15"/>
      <c r="P152" s="15"/>
      <c r="Q152" s="15"/>
      <c r="R152" s="15"/>
      <c r="V152" s="15"/>
    </row>
    <row r="153" spans="1:22" x14ac:dyDescent="0.4">
      <c r="A153" s="170" t="s">
        <v>23</v>
      </c>
      <c r="B153" s="3" t="s">
        <v>108</v>
      </c>
      <c r="C153" s="3" t="s">
        <v>0</v>
      </c>
      <c r="D153" s="180" t="s">
        <v>528</v>
      </c>
      <c r="E153" s="172"/>
      <c r="F153" s="173">
        <v>0</v>
      </c>
      <c r="G153" s="173">
        <v>0</v>
      </c>
      <c r="H153" s="173">
        <v>0</v>
      </c>
      <c r="I153" s="173"/>
      <c r="J153" s="173"/>
      <c r="K153" s="173"/>
      <c r="L153" s="15"/>
      <c r="M153" s="15"/>
      <c r="N153" s="15"/>
      <c r="O153" s="15"/>
      <c r="P153" s="15"/>
      <c r="Q153" s="15"/>
      <c r="R153" s="15"/>
      <c r="V153" s="15"/>
    </row>
    <row r="154" spans="1:22" x14ac:dyDescent="0.4">
      <c r="A154" s="170" t="s">
        <v>23</v>
      </c>
      <c r="B154" s="3" t="s">
        <v>108</v>
      </c>
      <c r="C154" s="3" t="s">
        <v>0</v>
      </c>
      <c r="D154" s="171" t="s">
        <v>9</v>
      </c>
      <c r="E154" s="172" t="s">
        <v>509</v>
      </c>
      <c r="F154" s="173">
        <v>331.09</v>
      </c>
      <c r="G154" s="173">
        <f t="shared" ref="G154:G160" si="5">F154*0.3</f>
        <v>99.326999999999984</v>
      </c>
      <c r="H154" s="173">
        <f>$F$154</f>
        <v>331.09</v>
      </c>
      <c r="I154" s="173"/>
      <c r="J154" s="173"/>
      <c r="K154" s="173"/>
      <c r="L154" s="15"/>
      <c r="M154" s="15"/>
      <c r="N154" s="15"/>
      <c r="O154" s="15"/>
      <c r="P154" s="15"/>
      <c r="Q154" s="15"/>
      <c r="R154" s="15"/>
      <c r="V154" s="15"/>
    </row>
    <row r="155" spans="1:22" x14ac:dyDescent="0.4">
      <c r="A155" s="170" t="s">
        <v>23</v>
      </c>
      <c r="B155" s="3" t="s">
        <v>109</v>
      </c>
      <c r="C155" s="3" t="s">
        <v>0</v>
      </c>
      <c r="D155" s="180" t="s">
        <v>526</v>
      </c>
      <c r="E155" s="172" t="s">
        <v>508</v>
      </c>
      <c r="F155" s="173">
        <f>$F$146</f>
        <v>2008.86</v>
      </c>
      <c r="G155" s="173">
        <f>$F$155*0.3</f>
        <v>602.6579999999999</v>
      </c>
      <c r="H155" s="173">
        <v>0</v>
      </c>
      <c r="I155" s="173">
        <f>$F$155</f>
        <v>2008.86</v>
      </c>
      <c r="J155" s="173"/>
      <c r="K155" s="173"/>
      <c r="L155" s="15"/>
      <c r="M155" s="15"/>
      <c r="N155" s="15"/>
      <c r="O155" s="15"/>
      <c r="P155" s="15"/>
      <c r="Q155" s="15"/>
      <c r="R155" s="15"/>
      <c r="V155" s="15"/>
    </row>
    <row r="156" spans="1:22" x14ac:dyDescent="0.4">
      <c r="A156" s="170" t="s">
        <v>23</v>
      </c>
      <c r="B156" s="3" t="s">
        <v>109</v>
      </c>
      <c r="C156" s="3" t="s">
        <v>0</v>
      </c>
      <c r="D156" s="181" t="s">
        <v>527</v>
      </c>
      <c r="E156" s="172" t="s">
        <v>508</v>
      </c>
      <c r="F156" s="173">
        <f>$F$146</f>
        <v>2008.86</v>
      </c>
      <c r="G156" s="173">
        <f>$F$155*0.3</f>
        <v>602.6579999999999</v>
      </c>
      <c r="H156" s="173">
        <v>0</v>
      </c>
      <c r="I156" s="173">
        <f>$F$155</f>
        <v>2008.86</v>
      </c>
      <c r="J156" s="176"/>
      <c r="K156" s="176"/>
      <c r="L156" s="15"/>
      <c r="M156" s="15"/>
      <c r="N156" s="15"/>
      <c r="O156" s="15"/>
      <c r="P156" s="15"/>
      <c r="Q156" s="15"/>
      <c r="R156" s="15"/>
      <c r="V156" s="15"/>
    </row>
    <row r="157" spans="1:22" x14ac:dyDescent="0.4">
      <c r="A157" s="170" t="s">
        <v>23</v>
      </c>
      <c r="B157" s="3" t="s">
        <v>109</v>
      </c>
      <c r="C157" s="3" t="s">
        <v>0</v>
      </c>
      <c r="D157" s="171" t="s">
        <v>9</v>
      </c>
      <c r="E157" s="172" t="s">
        <v>509</v>
      </c>
      <c r="F157" s="173">
        <v>331.09</v>
      </c>
      <c r="G157" s="173">
        <f t="shared" si="5"/>
        <v>99.326999999999984</v>
      </c>
      <c r="H157" s="173">
        <f>$F$154</f>
        <v>331.09</v>
      </c>
      <c r="I157" s="173">
        <f>$F$157</f>
        <v>331.09</v>
      </c>
      <c r="J157" s="173"/>
      <c r="K157" s="173"/>
      <c r="L157" s="15"/>
      <c r="M157" s="15"/>
      <c r="N157" s="15"/>
      <c r="O157" s="15"/>
      <c r="P157" s="15"/>
      <c r="Q157" s="15"/>
      <c r="R157" s="15"/>
      <c r="V157" s="15"/>
    </row>
    <row r="158" spans="1:22" x14ac:dyDescent="0.4">
      <c r="A158" s="170" t="s">
        <v>23</v>
      </c>
      <c r="B158" s="3" t="s">
        <v>110</v>
      </c>
      <c r="C158" s="3" t="s">
        <v>0</v>
      </c>
      <c r="D158" s="180" t="s">
        <v>526</v>
      </c>
      <c r="E158" s="172" t="s">
        <v>510</v>
      </c>
      <c r="F158" s="173">
        <f>$F$150</f>
        <v>3509.06</v>
      </c>
      <c r="G158" s="173">
        <f>$F$158*0.3</f>
        <v>1052.7179999999998</v>
      </c>
      <c r="H158" s="173">
        <v>0</v>
      </c>
      <c r="I158" s="173">
        <f>$F$155</f>
        <v>2008.86</v>
      </c>
      <c r="J158" s="173">
        <f>$F$158</f>
        <v>3509.06</v>
      </c>
      <c r="K158" s="173"/>
      <c r="L158" s="15"/>
      <c r="M158" s="15"/>
      <c r="N158" s="15"/>
      <c r="O158" s="15"/>
      <c r="P158" s="15"/>
      <c r="Q158" s="15"/>
      <c r="R158" s="15"/>
      <c r="V158" s="15"/>
    </row>
    <row r="159" spans="1:22" x14ac:dyDescent="0.4">
      <c r="A159" s="170" t="s">
        <v>23</v>
      </c>
      <c r="B159" s="3" t="s">
        <v>110</v>
      </c>
      <c r="C159" s="3" t="s">
        <v>0</v>
      </c>
      <c r="D159" s="181" t="s">
        <v>527</v>
      </c>
      <c r="E159" s="172" t="s">
        <v>510</v>
      </c>
      <c r="F159" s="173">
        <f>$F$150</f>
        <v>3509.06</v>
      </c>
      <c r="G159" s="173">
        <f>$F$158*0.3</f>
        <v>1052.7179999999998</v>
      </c>
      <c r="H159" s="173">
        <v>0</v>
      </c>
      <c r="I159" s="173">
        <f>$F$155</f>
        <v>2008.86</v>
      </c>
      <c r="J159" s="173">
        <f>$F$158</f>
        <v>3509.06</v>
      </c>
      <c r="K159" s="176"/>
      <c r="L159" s="15"/>
      <c r="M159" s="15"/>
      <c r="N159" s="15"/>
      <c r="O159" s="15"/>
      <c r="P159" s="15"/>
      <c r="Q159" s="15"/>
      <c r="R159" s="15"/>
      <c r="V159" s="15"/>
    </row>
    <row r="160" spans="1:22" x14ac:dyDescent="0.4">
      <c r="A160" s="170" t="s">
        <v>23</v>
      </c>
      <c r="B160" s="3" t="s">
        <v>110</v>
      </c>
      <c r="C160" s="3" t="s">
        <v>0</v>
      </c>
      <c r="D160" s="171" t="s">
        <v>9</v>
      </c>
      <c r="E160" s="172" t="s">
        <v>509</v>
      </c>
      <c r="F160" s="173">
        <v>331.09</v>
      </c>
      <c r="G160" s="173">
        <f t="shared" si="5"/>
        <v>99.326999999999984</v>
      </c>
      <c r="H160" s="173">
        <f>$F$154</f>
        <v>331.09</v>
      </c>
      <c r="I160" s="173">
        <f>$F$157</f>
        <v>331.09</v>
      </c>
      <c r="J160" s="173">
        <f>$F$160</f>
        <v>331.09</v>
      </c>
      <c r="K160" s="173"/>
      <c r="L160" s="15"/>
      <c r="M160" s="15"/>
      <c r="N160" s="15"/>
      <c r="O160" s="15"/>
      <c r="P160" s="15"/>
      <c r="Q160" s="15"/>
      <c r="R160" s="15"/>
      <c r="V160" s="15"/>
    </row>
    <row r="161" spans="1:22" x14ac:dyDescent="0.4">
      <c r="A161" s="170" t="s">
        <v>16</v>
      </c>
      <c r="B161" s="3" t="s">
        <v>108</v>
      </c>
      <c r="C161" s="3" t="s">
        <v>1</v>
      </c>
      <c r="D161" s="171"/>
      <c r="E161" s="172"/>
      <c r="F161" s="173">
        <v>640</v>
      </c>
      <c r="G161" s="173">
        <v>0</v>
      </c>
      <c r="H161" s="173">
        <f>Tabelle4[[#This Row],[1st strength]]</f>
        <v>640</v>
      </c>
      <c r="I161" s="173"/>
      <c r="J161" s="173"/>
      <c r="K161" s="173"/>
      <c r="L161" s="15"/>
      <c r="M161" s="15"/>
      <c r="N161" s="15"/>
      <c r="O161" s="15"/>
      <c r="P161" s="15"/>
      <c r="Q161" s="15"/>
      <c r="R161" s="15"/>
      <c r="V161" s="15"/>
    </row>
    <row r="162" spans="1:22" x14ac:dyDescent="0.4">
      <c r="A162" s="170" t="s">
        <v>16</v>
      </c>
      <c r="B162" s="3" t="s">
        <v>109</v>
      </c>
      <c r="C162" s="3" t="s">
        <v>1</v>
      </c>
      <c r="D162" s="171"/>
      <c r="E162" s="172" t="s">
        <v>463</v>
      </c>
      <c r="F162" s="173">
        <f>1010+F172</f>
        <v>1495</v>
      </c>
      <c r="G162" s="173">
        <v>0</v>
      </c>
      <c r="H162" s="173">
        <f>F161</f>
        <v>640</v>
      </c>
      <c r="I162" s="173">
        <f>Tabelle4[[#This Row],[1st strength]]</f>
        <v>1495</v>
      </c>
      <c r="J162" s="173"/>
      <c r="K162" s="173"/>
      <c r="L162" s="15"/>
      <c r="M162" s="15"/>
      <c r="N162" s="15"/>
      <c r="O162" s="15"/>
      <c r="P162" s="15"/>
      <c r="Q162" s="15"/>
      <c r="R162" s="15"/>
      <c r="V162" s="15"/>
    </row>
    <row r="163" spans="1:22" x14ac:dyDescent="0.4">
      <c r="A163" s="170" t="s">
        <v>16</v>
      </c>
      <c r="B163" s="3" t="s">
        <v>109</v>
      </c>
      <c r="C163" s="3" t="s">
        <v>1</v>
      </c>
      <c r="D163" s="171" t="s">
        <v>111</v>
      </c>
      <c r="E163" s="172"/>
      <c r="F163" s="173">
        <f>1010+F173</f>
        <v>1495</v>
      </c>
      <c r="G163" s="173">
        <v>0</v>
      </c>
      <c r="H163" s="173">
        <v>0</v>
      </c>
      <c r="I163" s="173">
        <v>0</v>
      </c>
      <c r="J163" s="173"/>
      <c r="K163" s="173"/>
      <c r="L163" s="15"/>
      <c r="M163" s="15"/>
      <c r="N163" s="15"/>
      <c r="O163" s="15"/>
      <c r="P163" s="15"/>
      <c r="Q163" s="15"/>
      <c r="R163" s="15"/>
      <c r="V163" s="15"/>
    </row>
    <row r="164" spans="1:22" x14ac:dyDescent="0.4">
      <c r="A164" s="170" t="s">
        <v>16</v>
      </c>
      <c r="B164" s="3" t="s">
        <v>110</v>
      </c>
      <c r="C164" s="3" t="s">
        <v>1</v>
      </c>
      <c r="D164" s="171"/>
      <c r="E164" s="172" t="s">
        <v>463</v>
      </c>
      <c r="F164" s="173">
        <f>2250+F174</f>
        <v>3530</v>
      </c>
      <c r="G164" s="173">
        <v>0</v>
      </c>
      <c r="H164" s="173">
        <f>F161</f>
        <v>640</v>
      </c>
      <c r="I164" s="173">
        <f>F162</f>
        <v>1495</v>
      </c>
      <c r="J164" s="173">
        <f>Tabelle4[[#This Row],[1st strength]]</f>
        <v>3530</v>
      </c>
      <c r="K164" s="173"/>
      <c r="L164" s="15"/>
      <c r="M164" s="15"/>
      <c r="N164" s="15"/>
      <c r="O164" s="15"/>
      <c r="P164" s="15"/>
      <c r="Q164" s="15"/>
      <c r="R164" s="15"/>
      <c r="V164" s="15"/>
    </row>
    <row r="165" spans="1:22" x14ac:dyDescent="0.4">
      <c r="A165" s="170" t="s">
        <v>16</v>
      </c>
      <c r="B165" s="3" t="s">
        <v>110</v>
      </c>
      <c r="C165" s="3" t="s">
        <v>1</v>
      </c>
      <c r="D165" s="171" t="s">
        <v>194</v>
      </c>
      <c r="E165" s="172" t="s">
        <v>463</v>
      </c>
      <c r="F165" s="173">
        <f>2250+F175</f>
        <v>6750</v>
      </c>
      <c r="G165" s="173">
        <v>0</v>
      </c>
      <c r="H165" s="173">
        <f>F161</f>
        <v>640</v>
      </c>
      <c r="I165" s="173">
        <f>F162</f>
        <v>1495</v>
      </c>
      <c r="J165" s="173">
        <f>Tabelle4[[#This Row],[1st strength]]</f>
        <v>6750</v>
      </c>
      <c r="K165" s="173"/>
      <c r="L165" s="15"/>
      <c r="M165" s="15"/>
      <c r="N165" s="15"/>
      <c r="O165" s="15"/>
      <c r="P165" s="15"/>
      <c r="Q165" s="15"/>
      <c r="R165" s="15"/>
      <c r="V165" s="15"/>
    </row>
    <row r="166" spans="1:22" x14ac:dyDescent="0.4">
      <c r="A166" s="170" t="s">
        <v>16</v>
      </c>
      <c r="B166" s="3" t="s">
        <v>108</v>
      </c>
      <c r="C166" s="3" t="s">
        <v>2</v>
      </c>
      <c r="D166" s="171"/>
      <c r="E166" s="172"/>
      <c r="F166" s="173">
        <v>0</v>
      </c>
      <c r="G166" s="173">
        <v>0</v>
      </c>
      <c r="H166" s="173">
        <v>0</v>
      </c>
      <c r="I166" s="173"/>
      <c r="J166" s="173"/>
      <c r="K166" s="173"/>
      <c r="L166" s="15"/>
      <c r="M166" s="15"/>
      <c r="N166" s="15"/>
      <c r="O166" s="15"/>
      <c r="P166" s="15"/>
      <c r="Q166" s="15"/>
      <c r="R166" s="15"/>
      <c r="V166" s="15"/>
    </row>
    <row r="167" spans="1:22" x14ac:dyDescent="0.4">
      <c r="A167" s="170" t="s">
        <v>16</v>
      </c>
      <c r="B167" s="3" t="s">
        <v>109</v>
      </c>
      <c r="C167" s="3" t="s">
        <v>2</v>
      </c>
      <c r="D167" s="171"/>
      <c r="E167" s="172" t="s">
        <v>436</v>
      </c>
      <c r="F167" s="173">
        <v>350</v>
      </c>
      <c r="G167" s="173">
        <v>0</v>
      </c>
      <c r="H167" s="173">
        <v>0</v>
      </c>
      <c r="I167" s="173">
        <f>Tabelle4[[#This Row],[1st strength]]</f>
        <v>350</v>
      </c>
      <c r="J167" s="173"/>
      <c r="K167" s="173"/>
      <c r="L167" s="15"/>
      <c r="M167" s="15"/>
      <c r="N167" s="15"/>
      <c r="O167" s="15"/>
      <c r="P167" s="15"/>
      <c r="Q167" s="15"/>
      <c r="R167" s="15"/>
      <c r="V167" s="15"/>
    </row>
    <row r="168" spans="1:22" x14ac:dyDescent="0.4">
      <c r="A168" s="170" t="s">
        <v>16</v>
      </c>
      <c r="B168" s="3" t="s">
        <v>109</v>
      </c>
      <c r="C168" s="3" t="s">
        <v>2</v>
      </c>
      <c r="D168" s="171" t="s">
        <v>111</v>
      </c>
      <c r="E168" s="172"/>
      <c r="F168" s="173">
        <v>350</v>
      </c>
      <c r="G168" s="173">
        <v>0</v>
      </c>
      <c r="H168" s="173">
        <v>0</v>
      </c>
      <c r="I168" s="173">
        <v>0</v>
      </c>
      <c r="J168" s="173"/>
      <c r="K168" s="173"/>
      <c r="L168" s="15"/>
      <c r="M168" s="15"/>
      <c r="N168" s="15"/>
      <c r="O168" s="15"/>
      <c r="P168" s="15"/>
      <c r="Q168" s="15"/>
      <c r="R168" s="15"/>
      <c r="V168" s="15"/>
    </row>
    <row r="169" spans="1:22" x14ac:dyDescent="0.4">
      <c r="A169" s="170" t="s">
        <v>16</v>
      </c>
      <c r="B169" s="3" t="s">
        <v>110</v>
      </c>
      <c r="C169" s="3" t="s">
        <v>2</v>
      </c>
      <c r="D169" s="171"/>
      <c r="E169" s="172" t="s">
        <v>436</v>
      </c>
      <c r="F169" s="173">
        <v>900</v>
      </c>
      <c r="G169" s="173">
        <v>0</v>
      </c>
      <c r="H169" s="173">
        <v>0</v>
      </c>
      <c r="I169" s="173">
        <f>F167</f>
        <v>350</v>
      </c>
      <c r="J169" s="173">
        <f>Tabelle4[[#This Row],[1st strength]]</f>
        <v>900</v>
      </c>
      <c r="K169" s="173"/>
      <c r="L169" s="15"/>
      <c r="M169" s="15"/>
      <c r="N169" s="15"/>
      <c r="O169" s="15"/>
      <c r="P169" s="15"/>
      <c r="Q169" s="15"/>
      <c r="R169" s="15"/>
      <c r="V169" s="15"/>
    </row>
    <row r="170" spans="1:22" x14ac:dyDescent="0.4">
      <c r="A170" s="170" t="s">
        <v>16</v>
      </c>
      <c r="B170" s="3" t="s">
        <v>110</v>
      </c>
      <c r="C170" s="3" t="s">
        <v>2</v>
      </c>
      <c r="D170" s="171" t="s">
        <v>194</v>
      </c>
      <c r="E170" s="172" t="s">
        <v>436</v>
      </c>
      <c r="F170" s="173">
        <v>3350</v>
      </c>
      <c r="G170" s="173">
        <v>0</v>
      </c>
      <c r="H170" s="173">
        <v>0</v>
      </c>
      <c r="I170" s="173">
        <f>F167</f>
        <v>350</v>
      </c>
      <c r="J170" s="173">
        <f>Tabelle4[[#This Row],[1st strength]]</f>
        <v>3350</v>
      </c>
      <c r="K170" s="173"/>
      <c r="L170" s="15"/>
      <c r="M170" s="15"/>
      <c r="N170" s="15"/>
      <c r="O170" s="15"/>
      <c r="P170" s="15"/>
      <c r="Q170" s="15"/>
      <c r="R170" s="15"/>
      <c r="V170" s="15"/>
    </row>
    <row r="171" spans="1:22" x14ac:dyDescent="0.4">
      <c r="A171" s="170" t="s">
        <v>16</v>
      </c>
      <c r="B171" s="3" t="s">
        <v>108</v>
      </c>
      <c r="C171" s="3" t="s">
        <v>0</v>
      </c>
      <c r="D171" s="171"/>
      <c r="E171" s="172"/>
      <c r="F171" s="173">
        <v>0</v>
      </c>
      <c r="G171" s="173">
        <v>0</v>
      </c>
      <c r="H171" s="173">
        <v>0</v>
      </c>
      <c r="I171" s="173"/>
      <c r="J171" s="173"/>
      <c r="K171" s="173"/>
      <c r="L171" s="15"/>
      <c r="M171" s="15"/>
      <c r="N171" s="15"/>
      <c r="O171" s="15"/>
      <c r="P171" s="15"/>
      <c r="Q171" s="15"/>
      <c r="R171" s="15"/>
      <c r="V171" s="15"/>
    </row>
    <row r="172" spans="1:22" x14ac:dyDescent="0.4">
      <c r="A172" s="170" t="s">
        <v>16</v>
      </c>
      <c r="B172" s="3" t="s">
        <v>109</v>
      </c>
      <c r="C172" s="3" t="s">
        <v>0</v>
      </c>
      <c r="D172" s="171"/>
      <c r="E172" s="172" t="s">
        <v>437</v>
      </c>
      <c r="F172" s="173">
        <v>485</v>
      </c>
      <c r="G172" s="173">
        <v>0</v>
      </c>
      <c r="H172" s="173">
        <v>0</v>
      </c>
      <c r="I172" s="173">
        <f>Tabelle4[[#This Row],[1st strength]]</f>
        <v>485</v>
      </c>
      <c r="J172" s="173"/>
      <c r="K172" s="173"/>
      <c r="L172" s="15"/>
      <c r="M172" s="15"/>
      <c r="N172" s="15"/>
      <c r="O172" s="15"/>
      <c r="P172" s="15"/>
      <c r="Q172" s="15"/>
      <c r="R172" s="15"/>
      <c r="V172" s="15"/>
    </row>
    <row r="173" spans="1:22" x14ac:dyDescent="0.4">
      <c r="A173" s="170" t="s">
        <v>16</v>
      </c>
      <c r="B173" s="3" t="s">
        <v>109</v>
      </c>
      <c r="C173" s="3" t="s">
        <v>0</v>
      </c>
      <c r="D173" s="171" t="s">
        <v>111</v>
      </c>
      <c r="E173" s="172"/>
      <c r="F173" s="173">
        <v>485</v>
      </c>
      <c r="G173" s="173">
        <v>0</v>
      </c>
      <c r="H173" s="173">
        <v>0</v>
      </c>
      <c r="I173" s="173">
        <v>0</v>
      </c>
      <c r="J173" s="173"/>
      <c r="K173" s="173"/>
      <c r="L173" s="15"/>
      <c r="M173" s="15"/>
      <c r="N173" s="15"/>
      <c r="O173" s="15"/>
      <c r="P173" s="15"/>
      <c r="Q173" s="15"/>
      <c r="R173" s="15"/>
      <c r="V173" s="15"/>
    </row>
    <row r="174" spans="1:22" x14ac:dyDescent="0.4">
      <c r="A174" s="170" t="s">
        <v>16</v>
      </c>
      <c r="B174" s="3" t="s">
        <v>110</v>
      </c>
      <c r="C174" s="3" t="s">
        <v>0</v>
      </c>
      <c r="D174" s="171"/>
      <c r="E174" s="172" t="s">
        <v>437</v>
      </c>
      <c r="F174" s="173">
        <v>1280</v>
      </c>
      <c r="G174" s="173">
        <v>0</v>
      </c>
      <c r="H174" s="173">
        <v>0</v>
      </c>
      <c r="I174" s="173">
        <f>F172</f>
        <v>485</v>
      </c>
      <c r="J174" s="173">
        <f>Tabelle4[[#This Row],[1st strength]]</f>
        <v>1280</v>
      </c>
      <c r="K174" s="173"/>
      <c r="L174" s="15"/>
      <c r="M174" s="15"/>
      <c r="N174" s="15"/>
      <c r="O174" s="15"/>
      <c r="P174" s="15"/>
      <c r="Q174" s="15"/>
      <c r="R174" s="15"/>
      <c r="V174" s="15"/>
    </row>
    <row r="175" spans="1:22" x14ac:dyDescent="0.4">
      <c r="A175" s="170" t="s">
        <v>16</v>
      </c>
      <c r="B175" s="3" t="s">
        <v>110</v>
      </c>
      <c r="C175" s="3" t="s">
        <v>0</v>
      </c>
      <c r="D175" s="171" t="s">
        <v>194</v>
      </c>
      <c r="E175" s="172" t="s">
        <v>437</v>
      </c>
      <c r="F175" s="173">
        <v>4500</v>
      </c>
      <c r="G175" s="173">
        <v>0</v>
      </c>
      <c r="H175" s="173">
        <v>0</v>
      </c>
      <c r="I175" s="173">
        <f>F172</f>
        <v>485</v>
      </c>
      <c r="J175" s="173">
        <f>Tabelle4[[#This Row],[1st strength]]</f>
        <v>4500</v>
      </c>
      <c r="K175" s="173"/>
      <c r="L175" s="15"/>
      <c r="M175" s="15"/>
      <c r="N175" s="15"/>
      <c r="O175" s="15"/>
      <c r="P175" s="15"/>
      <c r="Q175" s="15"/>
      <c r="R175" s="15"/>
      <c r="V175" s="15"/>
    </row>
    <row r="176" spans="1:22" x14ac:dyDescent="0.4">
      <c r="A176" s="170" t="s">
        <v>19</v>
      </c>
      <c r="B176" s="3" t="s">
        <v>108</v>
      </c>
      <c r="C176" s="3" t="s">
        <v>1</v>
      </c>
      <c r="D176" s="171"/>
      <c r="E176" s="172"/>
      <c r="F176" s="173">
        <v>0</v>
      </c>
      <c r="G176" s="173">
        <v>0</v>
      </c>
      <c r="H176" s="173">
        <v>0</v>
      </c>
      <c r="I176" s="173"/>
      <c r="J176" s="173"/>
      <c r="K176" s="173"/>
      <c r="L176" s="15"/>
      <c r="M176" s="15"/>
      <c r="N176" s="15"/>
      <c r="O176" s="15"/>
      <c r="P176" s="15"/>
      <c r="Q176" s="15"/>
      <c r="R176" s="15"/>
      <c r="V176" s="15"/>
    </row>
    <row r="177" spans="1:22" x14ac:dyDescent="0.4">
      <c r="A177" s="170" t="s">
        <v>19</v>
      </c>
      <c r="B177" s="3" t="s">
        <v>108</v>
      </c>
      <c r="C177" s="3" t="s">
        <v>1</v>
      </c>
      <c r="D177" s="182" t="s">
        <v>46</v>
      </c>
      <c r="E177" s="183" t="s">
        <v>451</v>
      </c>
      <c r="F177" s="173">
        <v>2500</v>
      </c>
      <c r="G177" s="173">
        <v>0</v>
      </c>
      <c r="H177" s="173">
        <v>2500</v>
      </c>
      <c r="I177" s="173"/>
      <c r="J177" s="173"/>
      <c r="K177" s="173"/>
      <c r="L177" s="15"/>
      <c r="M177" s="15"/>
      <c r="N177" s="15"/>
      <c r="O177" s="15"/>
      <c r="P177" s="15"/>
      <c r="Q177" s="15"/>
      <c r="R177" s="15"/>
      <c r="V177" s="15"/>
    </row>
    <row r="178" spans="1:22" x14ac:dyDescent="0.4">
      <c r="A178" s="170" t="s">
        <v>19</v>
      </c>
      <c r="B178" s="3" t="s">
        <v>109</v>
      </c>
      <c r="C178" s="3" t="s">
        <v>1</v>
      </c>
      <c r="D178" s="171"/>
      <c r="E178" s="183" t="s">
        <v>451</v>
      </c>
      <c r="F178" s="173">
        <v>2500</v>
      </c>
      <c r="G178" s="173">
        <v>2500</v>
      </c>
      <c r="H178" s="173">
        <v>0</v>
      </c>
      <c r="I178" s="173">
        <v>2500</v>
      </c>
      <c r="J178" s="173"/>
      <c r="K178" s="173"/>
      <c r="L178" s="15"/>
      <c r="M178" s="15"/>
      <c r="N178" s="15"/>
      <c r="O178" s="15"/>
      <c r="P178" s="15"/>
      <c r="Q178" s="15"/>
      <c r="R178" s="15"/>
      <c r="V178" s="15"/>
    </row>
    <row r="179" spans="1:22" x14ac:dyDescent="0.4">
      <c r="A179" s="170" t="s">
        <v>19</v>
      </c>
      <c r="B179" s="3" t="s">
        <v>110</v>
      </c>
      <c r="C179" s="3" t="s">
        <v>1</v>
      </c>
      <c r="D179" s="171"/>
      <c r="E179" s="183" t="s">
        <v>452</v>
      </c>
      <c r="F179" s="173">
        <v>3500</v>
      </c>
      <c r="G179" s="173">
        <v>3500</v>
      </c>
      <c r="H179" s="173">
        <v>0</v>
      </c>
      <c r="I179" s="173">
        <v>2500</v>
      </c>
      <c r="J179" s="173">
        <v>3500</v>
      </c>
      <c r="K179" s="173"/>
      <c r="L179" s="15"/>
      <c r="M179" s="15"/>
      <c r="N179" s="15"/>
      <c r="O179" s="15"/>
      <c r="P179" s="15"/>
      <c r="Q179" s="15"/>
      <c r="R179" s="15"/>
      <c r="V179" s="15"/>
    </row>
    <row r="180" spans="1:22" x14ac:dyDescent="0.4">
      <c r="A180" s="170" t="s">
        <v>19</v>
      </c>
      <c r="B180" s="3" t="s">
        <v>110</v>
      </c>
      <c r="C180" s="3" t="s">
        <v>1</v>
      </c>
      <c r="D180" s="181" t="s">
        <v>26</v>
      </c>
      <c r="E180" s="183" t="s">
        <v>453</v>
      </c>
      <c r="F180" s="173">
        <v>22000</v>
      </c>
      <c r="G180" s="173">
        <v>0</v>
      </c>
      <c r="H180" s="173">
        <v>0</v>
      </c>
      <c r="I180" s="173">
        <v>2500</v>
      </c>
      <c r="J180" s="173">
        <v>3500</v>
      </c>
      <c r="K180" s="176"/>
      <c r="L180" s="15"/>
      <c r="M180" s="15"/>
      <c r="N180" s="15"/>
      <c r="O180" s="15"/>
      <c r="P180" s="15"/>
      <c r="Q180" s="15"/>
      <c r="R180" s="15"/>
      <c r="V180" s="15"/>
    </row>
    <row r="181" spans="1:22" x14ac:dyDescent="0.4">
      <c r="A181" s="170" t="s">
        <v>19</v>
      </c>
      <c r="B181" s="3" t="s">
        <v>108</v>
      </c>
      <c r="C181" s="3" t="s">
        <v>2</v>
      </c>
      <c r="D181" s="171"/>
      <c r="E181" s="172"/>
      <c r="F181" s="173">
        <v>0</v>
      </c>
      <c r="G181" s="173">
        <v>0</v>
      </c>
      <c r="H181" s="173">
        <v>0</v>
      </c>
      <c r="I181" s="173"/>
      <c r="J181" s="173"/>
      <c r="K181" s="173"/>
      <c r="L181" s="15"/>
      <c r="M181" s="15"/>
      <c r="N181" s="15"/>
      <c r="O181" s="15"/>
      <c r="P181" s="15"/>
      <c r="Q181" s="15"/>
      <c r="R181" s="15"/>
      <c r="V181" s="15"/>
    </row>
    <row r="182" spans="1:22" x14ac:dyDescent="0.4">
      <c r="A182" s="170" t="s">
        <v>19</v>
      </c>
      <c r="B182" s="3" t="s">
        <v>108</v>
      </c>
      <c r="C182" s="3" t="s">
        <v>2</v>
      </c>
      <c r="D182" s="182" t="s">
        <v>46</v>
      </c>
      <c r="E182" s="183" t="s">
        <v>451</v>
      </c>
      <c r="F182" s="173">
        <v>2500</v>
      </c>
      <c r="G182" s="173">
        <v>0</v>
      </c>
      <c r="H182" s="173">
        <v>2500</v>
      </c>
      <c r="I182" s="173"/>
      <c r="J182" s="173"/>
      <c r="K182" s="173"/>
      <c r="L182" s="15"/>
      <c r="M182" s="15"/>
      <c r="N182" s="15"/>
      <c r="O182" s="15"/>
      <c r="P182" s="15"/>
      <c r="Q182" s="15"/>
      <c r="R182" s="15"/>
      <c r="V182" s="15"/>
    </row>
    <row r="183" spans="1:22" x14ac:dyDescent="0.4">
      <c r="A183" s="170" t="s">
        <v>19</v>
      </c>
      <c r="B183" s="3" t="s">
        <v>109</v>
      </c>
      <c r="C183" s="3" t="s">
        <v>2</v>
      </c>
      <c r="D183" s="171"/>
      <c r="E183" s="183" t="s">
        <v>451</v>
      </c>
      <c r="F183" s="173">
        <v>2500</v>
      </c>
      <c r="G183" s="173">
        <v>2500</v>
      </c>
      <c r="H183" s="173">
        <v>0</v>
      </c>
      <c r="I183" s="173">
        <v>2500</v>
      </c>
      <c r="J183" s="173"/>
      <c r="K183" s="173"/>
      <c r="L183" s="15"/>
      <c r="M183" s="15"/>
      <c r="N183" s="15"/>
      <c r="O183" s="15"/>
      <c r="P183" s="15"/>
      <c r="Q183" s="15"/>
      <c r="R183" s="15"/>
      <c r="V183" s="15"/>
    </row>
    <row r="184" spans="1:22" x14ac:dyDescent="0.4">
      <c r="A184" s="170" t="s">
        <v>19</v>
      </c>
      <c r="B184" s="3" t="s">
        <v>110</v>
      </c>
      <c r="C184" s="3" t="s">
        <v>2</v>
      </c>
      <c r="D184" s="171"/>
      <c r="E184" s="183" t="s">
        <v>452</v>
      </c>
      <c r="F184" s="173">
        <v>3500</v>
      </c>
      <c r="G184" s="173">
        <v>3500</v>
      </c>
      <c r="H184" s="173">
        <v>0</v>
      </c>
      <c r="I184" s="173">
        <v>2500</v>
      </c>
      <c r="J184" s="173">
        <v>3500</v>
      </c>
      <c r="K184" s="173"/>
      <c r="L184" s="15"/>
      <c r="M184" s="15"/>
      <c r="N184" s="15"/>
      <c r="O184" s="15"/>
      <c r="P184" s="15"/>
      <c r="Q184" s="15"/>
      <c r="R184" s="15"/>
      <c r="V184" s="15"/>
    </row>
    <row r="185" spans="1:22" x14ac:dyDescent="0.4">
      <c r="A185" s="170" t="s">
        <v>19</v>
      </c>
      <c r="B185" s="3" t="s">
        <v>110</v>
      </c>
      <c r="C185" s="3" t="s">
        <v>2</v>
      </c>
      <c r="D185" s="181" t="s">
        <v>26</v>
      </c>
      <c r="E185" s="183" t="s">
        <v>453</v>
      </c>
      <c r="F185" s="173">
        <v>22000</v>
      </c>
      <c r="G185" s="173">
        <v>0</v>
      </c>
      <c r="H185" s="173">
        <v>0</v>
      </c>
      <c r="I185" s="173">
        <v>2500</v>
      </c>
      <c r="J185" s="173">
        <v>3500</v>
      </c>
      <c r="K185" s="176"/>
      <c r="L185" s="15"/>
      <c r="M185" s="15"/>
      <c r="N185" s="15"/>
      <c r="O185" s="15"/>
      <c r="P185" s="15"/>
      <c r="Q185" s="15"/>
      <c r="R185" s="15"/>
      <c r="V185" s="15"/>
    </row>
    <row r="186" spans="1:22" x14ac:dyDescent="0.4">
      <c r="A186" s="170" t="s">
        <v>19</v>
      </c>
      <c r="B186" s="3" t="s">
        <v>108</v>
      </c>
      <c r="C186" s="3" t="s">
        <v>0</v>
      </c>
      <c r="D186" s="171"/>
      <c r="E186" s="172"/>
      <c r="F186" s="173">
        <v>0</v>
      </c>
      <c r="G186" s="173">
        <v>0</v>
      </c>
      <c r="H186" s="173">
        <v>0</v>
      </c>
      <c r="I186" s="173"/>
      <c r="J186" s="173"/>
      <c r="K186" s="173"/>
      <c r="L186" s="15"/>
      <c r="M186" s="15"/>
      <c r="N186" s="15"/>
      <c r="O186" s="15"/>
      <c r="P186" s="15"/>
      <c r="Q186" s="15"/>
      <c r="R186" s="15"/>
      <c r="V186" s="15"/>
    </row>
    <row r="187" spans="1:22" x14ac:dyDescent="0.4">
      <c r="A187" s="170" t="s">
        <v>19</v>
      </c>
      <c r="B187" s="3" t="s">
        <v>108</v>
      </c>
      <c r="C187" s="3" t="s">
        <v>0</v>
      </c>
      <c r="D187" s="182" t="s">
        <v>46</v>
      </c>
      <c r="E187" s="183" t="s">
        <v>451</v>
      </c>
      <c r="F187" s="173">
        <v>2500</v>
      </c>
      <c r="G187" s="173">
        <v>0</v>
      </c>
      <c r="H187" s="173">
        <v>2500</v>
      </c>
      <c r="I187" s="173"/>
      <c r="J187" s="173"/>
      <c r="K187" s="173"/>
      <c r="L187" s="15"/>
      <c r="M187" s="15"/>
      <c r="N187" s="15"/>
      <c r="O187" s="15"/>
      <c r="P187" s="15"/>
      <c r="Q187" s="15"/>
      <c r="R187" s="15"/>
      <c r="V187" s="15"/>
    </row>
    <row r="188" spans="1:22" x14ac:dyDescent="0.4">
      <c r="A188" s="170" t="s">
        <v>19</v>
      </c>
      <c r="B188" s="3" t="s">
        <v>109</v>
      </c>
      <c r="C188" s="3" t="s">
        <v>0</v>
      </c>
      <c r="D188" s="171"/>
      <c r="E188" s="183" t="s">
        <v>451</v>
      </c>
      <c r="F188" s="173">
        <v>2500</v>
      </c>
      <c r="G188" s="173">
        <v>2500</v>
      </c>
      <c r="H188" s="173">
        <v>0</v>
      </c>
      <c r="I188" s="173">
        <v>2500</v>
      </c>
      <c r="J188" s="173"/>
      <c r="K188" s="173"/>
      <c r="L188" s="15"/>
      <c r="M188" s="15"/>
      <c r="N188" s="15"/>
      <c r="O188" s="15"/>
      <c r="P188" s="15"/>
      <c r="Q188" s="15"/>
      <c r="R188" s="15"/>
      <c r="V188" s="15"/>
    </row>
    <row r="189" spans="1:22" x14ac:dyDescent="0.4">
      <c r="A189" s="170" t="s">
        <v>19</v>
      </c>
      <c r="B189" s="3" t="s">
        <v>110</v>
      </c>
      <c r="C189" s="3" t="s">
        <v>0</v>
      </c>
      <c r="D189" s="171"/>
      <c r="E189" s="183" t="s">
        <v>452</v>
      </c>
      <c r="F189" s="173">
        <v>3500</v>
      </c>
      <c r="G189" s="173">
        <v>3500</v>
      </c>
      <c r="H189" s="173">
        <v>0</v>
      </c>
      <c r="I189" s="173">
        <v>2500</v>
      </c>
      <c r="J189" s="173">
        <v>3500</v>
      </c>
      <c r="K189" s="173"/>
      <c r="L189" s="15"/>
      <c r="M189" s="15"/>
      <c r="N189" s="15"/>
      <c r="O189" s="15"/>
      <c r="P189" s="15"/>
      <c r="Q189" s="15"/>
      <c r="R189" s="15"/>
      <c r="V189" s="15"/>
    </row>
    <row r="190" spans="1:22" x14ac:dyDescent="0.4">
      <c r="A190" s="170" t="s">
        <v>19</v>
      </c>
      <c r="B190" s="3" t="s">
        <v>110</v>
      </c>
      <c r="C190" s="3" t="s">
        <v>0</v>
      </c>
      <c r="D190" s="181" t="s">
        <v>26</v>
      </c>
      <c r="E190" s="183" t="s">
        <v>453</v>
      </c>
      <c r="F190" s="173">
        <v>22000</v>
      </c>
      <c r="G190" s="173">
        <v>0</v>
      </c>
      <c r="H190" s="173">
        <v>0</v>
      </c>
      <c r="I190" s="173">
        <v>2500</v>
      </c>
      <c r="J190" s="173">
        <v>3500</v>
      </c>
      <c r="K190" s="176"/>
      <c r="L190" s="15"/>
      <c r="M190" s="15"/>
      <c r="N190" s="15"/>
      <c r="O190" s="15"/>
      <c r="P190" s="15"/>
      <c r="Q190" s="15"/>
      <c r="R190" s="15"/>
      <c r="V190" s="15"/>
    </row>
    <row r="191" spans="1:22" x14ac:dyDescent="0.4">
      <c r="A191" s="170" t="s">
        <v>78</v>
      </c>
      <c r="B191" s="3" t="s">
        <v>108</v>
      </c>
      <c r="C191" s="3" t="s">
        <v>1</v>
      </c>
      <c r="D191" s="171"/>
      <c r="E191" s="172" t="s">
        <v>711</v>
      </c>
      <c r="F191" s="173">
        <v>825</v>
      </c>
      <c r="G191" s="173">
        <v>95</v>
      </c>
      <c r="H191" s="173">
        <f>Tabelle4[[#This Row],[1st strength]]</f>
        <v>825</v>
      </c>
      <c r="I191" s="173"/>
      <c r="J191" s="173"/>
      <c r="K191" s="184"/>
      <c r="L191" s="15"/>
      <c r="M191" s="15"/>
      <c r="N191" s="15"/>
      <c r="O191" s="15"/>
      <c r="P191" s="15"/>
      <c r="Q191" s="15"/>
      <c r="R191" s="15"/>
      <c r="V191" s="15"/>
    </row>
    <row r="192" spans="1:22" x14ac:dyDescent="0.4">
      <c r="A192" s="170" t="s">
        <v>78</v>
      </c>
      <c r="B192" s="3" t="s">
        <v>109</v>
      </c>
      <c r="C192" s="3" t="s">
        <v>1</v>
      </c>
      <c r="D192" s="171"/>
      <c r="E192" s="172" t="s">
        <v>712</v>
      </c>
      <c r="F192" s="173">
        <v>1375</v>
      </c>
      <c r="G192" s="173">
        <v>95</v>
      </c>
      <c r="H192" s="173">
        <f>F191</f>
        <v>825</v>
      </c>
      <c r="I192" s="173">
        <f>Tabelle4[[#This Row],[1st strength]]</f>
        <v>1375</v>
      </c>
      <c r="J192" s="173"/>
      <c r="K192" s="184"/>
      <c r="L192" s="15"/>
      <c r="M192" s="15"/>
      <c r="N192" s="15"/>
      <c r="O192" s="15"/>
      <c r="P192" s="15"/>
      <c r="Q192" s="15"/>
      <c r="R192" s="15"/>
      <c r="V192" s="15"/>
    </row>
    <row r="193" spans="1:22" x14ac:dyDescent="0.4">
      <c r="A193" s="170" t="s">
        <v>78</v>
      </c>
      <c r="B193" s="3" t="s">
        <v>110</v>
      </c>
      <c r="C193" s="3" t="s">
        <v>1</v>
      </c>
      <c r="D193" s="171" t="s">
        <v>4</v>
      </c>
      <c r="E193" s="172" t="s">
        <v>713</v>
      </c>
      <c r="F193" s="173">
        <v>1595</v>
      </c>
      <c r="G193" s="173">
        <v>280</v>
      </c>
      <c r="H193" s="173">
        <f>F191</f>
        <v>825</v>
      </c>
      <c r="I193" s="173">
        <f>F192</f>
        <v>1375</v>
      </c>
      <c r="J193" s="173">
        <f>Tabelle4[[#This Row],[1st strength]]</f>
        <v>1595</v>
      </c>
      <c r="K193" s="184"/>
      <c r="L193" s="15"/>
      <c r="M193" s="15"/>
      <c r="N193" s="15"/>
      <c r="O193" s="15"/>
      <c r="P193" s="15"/>
      <c r="Q193" s="15"/>
      <c r="R193" s="15"/>
      <c r="V193" s="15"/>
    </row>
    <row r="194" spans="1:22" x14ac:dyDescent="0.4">
      <c r="A194" s="170" t="s">
        <v>78</v>
      </c>
      <c r="B194" s="3" t="s">
        <v>110</v>
      </c>
      <c r="C194" s="3" t="s">
        <v>1</v>
      </c>
      <c r="D194" s="171" t="s">
        <v>5</v>
      </c>
      <c r="E194" s="172" t="s">
        <v>714</v>
      </c>
      <c r="F194" s="173">
        <v>2860</v>
      </c>
      <c r="G194" s="173">
        <v>280</v>
      </c>
      <c r="H194" s="173">
        <f>F191</f>
        <v>825</v>
      </c>
      <c r="I194" s="173">
        <f>F192</f>
        <v>1375</v>
      </c>
      <c r="J194" s="173">
        <f>Tabelle4[[#This Row],[1st strength]]</f>
        <v>2860</v>
      </c>
      <c r="K194" s="184"/>
      <c r="L194" s="15"/>
      <c r="M194" s="15"/>
      <c r="N194" s="15"/>
      <c r="O194" s="15"/>
      <c r="P194" s="15"/>
      <c r="Q194" s="15"/>
      <c r="R194" s="15"/>
      <c r="V194" s="15"/>
    </row>
    <row r="195" spans="1:22" x14ac:dyDescent="0.4">
      <c r="A195" s="170" t="s">
        <v>78</v>
      </c>
      <c r="B195" s="3" t="s">
        <v>110</v>
      </c>
      <c r="C195" s="3" t="s">
        <v>1</v>
      </c>
      <c r="D195" s="171" t="s">
        <v>79</v>
      </c>
      <c r="E195" s="172" t="s">
        <v>715</v>
      </c>
      <c r="F195" s="173">
        <v>4235</v>
      </c>
      <c r="G195" s="173">
        <v>280</v>
      </c>
      <c r="H195" s="173">
        <f>F191</f>
        <v>825</v>
      </c>
      <c r="I195" s="173">
        <f>F192</f>
        <v>1375</v>
      </c>
      <c r="J195" s="173">
        <f>Tabelle4[[#This Row],[1st strength]]</f>
        <v>4235</v>
      </c>
      <c r="K195" s="184"/>
      <c r="L195" s="15"/>
      <c r="M195" s="15"/>
      <c r="N195" s="15"/>
      <c r="O195" s="15"/>
      <c r="P195" s="15"/>
      <c r="Q195" s="15"/>
      <c r="R195" s="15"/>
      <c r="V195" s="15"/>
    </row>
    <row r="196" spans="1:22" x14ac:dyDescent="0.4">
      <c r="A196" s="170" t="s">
        <v>78</v>
      </c>
      <c r="B196" s="3" t="s">
        <v>108</v>
      </c>
      <c r="C196" s="3" t="s">
        <v>2</v>
      </c>
      <c r="D196" s="171"/>
      <c r="E196" s="172" t="s">
        <v>716</v>
      </c>
      <c r="F196" s="173">
        <v>385</v>
      </c>
      <c r="G196" s="173">
        <v>95</v>
      </c>
      <c r="H196" s="173">
        <f>Tabelle4[[#This Row],[1st strength]]</f>
        <v>385</v>
      </c>
      <c r="I196" s="173"/>
      <c r="J196" s="173"/>
      <c r="K196" s="184"/>
      <c r="L196" s="15"/>
      <c r="M196" s="15"/>
      <c r="N196" s="15"/>
      <c r="O196" s="15"/>
      <c r="P196" s="15"/>
      <c r="Q196" s="15"/>
      <c r="R196" s="15"/>
      <c r="V196" s="15"/>
    </row>
    <row r="197" spans="1:22" x14ac:dyDescent="0.4">
      <c r="A197" s="170" t="s">
        <v>78</v>
      </c>
      <c r="B197" s="3" t="s">
        <v>109</v>
      </c>
      <c r="C197" s="3" t="s">
        <v>2</v>
      </c>
      <c r="D197" s="171"/>
      <c r="E197" s="172" t="s">
        <v>717</v>
      </c>
      <c r="F197" s="173">
        <v>605</v>
      </c>
      <c r="G197" s="173">
        <v>95</v>
      </c>
      <c r="H197" s="173">
        <f>F196</f>
        <v>385</v>
      </c>
      <c r="I197" s="173">
        <f>Tabelle4[[#This Row],[1st strength]]</f>
        <v>605</v>
      </c>
      <c r="J197" s="173"/>
      <c r="K197" s="184"/>
      <c r="L197" s="15"/>
      <c r="M197" s="15"/>
      <c r="N197" s="15"/>
      <c r="O197" s="15"/>
      <c r="P197" s="15"/>
      <c r="Q197" s="15"/>
      <c r="R197" s="15"/>
      <c r="V197" s="15"/>
    </row>
    <row r="198" spans="1:22" x14ac:dyDescent="0.4">
      <c r="A198" s="170" t="s">
        <v>78</v>
      </c>
      <c r="B198" s="3" t="s">
        <v>110</v>
      </c>
      <c r="C198" s="3" t="s">
        <v>2</v>
      </c>
      <c r="D198" s="171"/>
      <c r="E198" s="172" t="s">
        <v>718</v>
      </c>
      <c r="F198" s="173">
        <v>1045</v>
      </c>
      <c r="G198" s="173">
        <v>95</v>
      </c>
      <c r="H198" s="173">
        <f>F196</f>
        <v>385</v>
      </c>
      <c r="I198" s="173">
        <f>F197</f>
        <v>605</v>
      </c>
      <c r="J198" s="173">
        <f>Tabelle4[[#This Row],[1st strength]]</f>
        <v>1045</v>
      </c>
      <c r="K198" s="184"/>
      <c r="L198" s="15"/>
      <c r="M198" s="15"/>
      <c r="N198" s="15"/>
      <c r="O198" s="15"/>
      <c r="P198" s="15"/>
      <c r="Q198" s="15"/>
      <c r="R198" s="15"/>
      <c r="V198" s="15"/>
    </row>
    <row r="199" spans="1:22" x14ac:dyDescent="0.4">
      <c r="A199" s="170" t="s">
        <v>78</v>
      </c>
      <c r="B199" s="3" t="s">
        <v>108</v>
      </c>
      <c r="C199" s="3" t="s">
        <v>0</v>
      </c>
      <c r="D199" s="171"/>
      <c r="E199" s="172" t="s">
        <v>719</v>
      </c>
      <c r="F199" s="173">
        <v>385</v>
      </c>
      <c r="G199" s="173">
        <v>95</v>
      </c>
      <c r="H199" s="173">
        <f>Tabelle4[[#This Row],[1st strength]]</f>
        <v>385</v>
      </c>
      <c r="I199" s="173"/>
      <c r="J199" s="173"/>
      <c r="K199" s="184"/>
      <c r="L199" s="15"/>
      <c r="M199" s="15"/>
      <c r="N199" s="15"/>
      <c r="O199" s="15"/>
      <c r="P199" s="15"/>
      <c r="Q199" s="15"/>
      <c r="R199" s="15"/>
      <c r="V199" s="15"/>
    </row>
    <row r="200" spans="1:22" x14ac:dyDescent="0.4">
      <c r="A200" s="170" t="s">
        <v>78</v>
      </c>
      <c r="B200" s="3" t="s">
        <v>109</v>
      </c>
      <c r="C200" s="3" t="s">
        <v>0</v>
      </c>
      <c r="D200" s="171"/>
      <c r="E200" s="172" t="s">
        <v>720</v>
      </c>
      <c r="F200" s="173">
        <v>605</v>
      </c>
      <c r="G200" s="173">
        <v>95</v>
      </c>
      <c r="H200" s="173">
        <f>F199</f>
        <v>385</v>
      </c>
      <c r="I200" s="173">
        <f>Tabelle4[[#This Row],[1st strength]]</f>
        <v>605</v>
      </c>
      <c r="J200" s="173"/>
      <c r="K200" s="184"/>
      <c r="L200" s="15"/>
      <c r="M200" s="15"/>
      <c r="N200" s="15"/>
      <c r="O200" s="15"/>
      <c r="P200" s="15"/>
      <c r="Q200" s="15"/>
      <c r="R200" s="15"/>
      <c r="V200" s="15"/>
    </row>
    <row r="201" spans="1:22" x14ac:dyDescent="0.4">
      <c r="A201" s="170" t="s">
        <v>78</v>
      </c>
      <c r="B201" s="3" t="s">
        <v>110</v>
      </c>
      <c r="C201" s="3" t="s">
        <v>0</v>
      </c>
      <c r="D201" s="171" t="s">
        <v>4</v>
      </c>
      <c r="E201" s="172" t="s">
        <v>721</v>
      </c>
      <c r="F201" s="173">
        <v>825</v>
      </c>
      <c r="G201" s="173">
        <v>95</v>
      </c>
      <c r="H201" s="173">
        <f>F199</f>
        <v>385</v>
      </c>
      <c r="I201" s="173">
        <f>F200</f>
        <v>605</v>
      </c>
      <c r="J201" s="173">
        <f>Tabelle4[[#This Row],[1st strength]]</f>
        <v>825</v>
      </c>
      <c r="K201" s="184"/>
      <c r="L201" s="15"/>
      <c r="M201" s="15"/>
      <c r="N201" s="15"/>
      <c r="O201" s="15"/>
      <c r="P201" s="15"/>
      <c r="Q201" s="15"/>
      <c r="R201" s="15"/>
      <c r="V201" s="15"/>
    </row>
    <row r="202" spans="1:22" x14ac:dyDescent="0.4">
      <c r="A202" s="170" t="s">
        <v>78</v>
      </c>
      <c r="B202" s="3" t="s">
        <v>110</v>
      </c>
      <c r="C202" s="3" t="s">
        <v>0</v>
      </c>
      <c r="D202" s="171" t="s">
        <v>5</v>
      </c>
      <c r="E202" s="172" t="s">
        <v>722</v>
      </c>
      <c r="F202" s="173">
        <v>1650</v>
      </c>
      <c r="G202" s="173">
        <v>95</v>
      </c>
      <c r="H202" s="173">
        <f>F199</f>
        <v>385</v>
      </c>
      <c r="I202" s="173">
        <f>F200</f>
        <v>605</v>
      </c>
      <c r="J202" s="173">
        <f>Tabelle4[[#This Row],[1st strength]]</f>
        <v>1650</v>
      </c>
      <c r="K202" s="184"/>
      <c r="L202" s="15"/>
      <c r="M202" s="15"/>
      <c r="N202" s="15"/>
      <c r="O202" s="15"/>
      <c r="P202" s="15"/>
      <c r="Q202" s="15"/>
      <c r="R202" s="15"/>
      <c r="V202" s="15"/>
    </row>
    <row r="203" spans="1:22" x14ac:dyDescent="0.4">
      <c r="A203" s="170" t="s">
        <v>78</v>
      </c>
      <c r="B203" s="3" t="s">
        <v>110</v>
      </c>
      <c r="C203" s="3" t="s">
        <v>0</v>
      </c>
      <c r="D203" s="171" t="s">
        <v>79</v>
      </c>
      <c r="E203" s="172" t="s">
        <v>723</v>
      </c>
      <c r="F203" s="173">
        <v>3300</v>
      </c>
      <c r="G203" s="173">
        <v>95</v>
      </c>
      <c r="H203" s="173">
        <f>F199</f>
        <v>385</v>
      </c>
      <c r="I203" s="173">
        <f>F200</f>
        <v>605</v>
      </c>
      <c r="J203" s="173">
        <f>Tabelle4[[#This Row],[1st strength]]</f>
        <v>3300</v>
      </c>
      <c r="K203" s="184"/>
      <c r="L203" s="15"/>
      <c r="M203" s="15"/>
      <c r="N203" s="15"/>
      <c r="O203" s="15"/>
      <c r="P203" s="15"/>
      <c r="Q203" s="15"/>
      <c r="R203" s="15"/>
      <c r="V203" s="15"/>
    </row>
    <row r="204" spans="1:22" x14ac:dyDescent="0.4">
      <c r="A204" s="170" t="s">
        <v>24</v>
      </c>
      <c r="B204" s="3" t="s">
        <v>108</v>
      </c>
      <c r="C204" s="3" t="s">
        <v>1</v>
      </c>
      <c r="D204" s="171"/>
      <c r="E204" s="172" t="s">
        <v>122</v>
      </c>
      <c r="F204" s="185">
        <v>438750</v>
      </c>
      <c r="G204" s="185">
        <f>F204</f>
        <v>438750</v>
      </c>
      <c r="H204" s="185">
        <f>$F$204</f>
        <v>438750</v>
      </c>
      <c r="I204" s="185"/>
      <c r="J204" s="185"/>
      <c r="K204" s="185"/>
      <c r="L204" s="15"/>
      <c r="M204" s="15"/>
      <c r="N204" s="15"/>
      <c r="O204" s="15"/>
      <c r="P204" s="15"/>
      <c r="Q204" s="15"/>
      <c r="R204" s="15"/>
      <c r="V204" s="15"/>
    </row>
    <row r="205" spans="1:22" x14ac:dyDescent="0.4">
      <c r="A205" s="170" t="s">
        <v>24</v>
      </c>
      <c r="B205" s="3" t="s">
        <v>109</v>
      </c>
      <c r="C205" s="3" t="s">
        <v>1</v>
      </c>
      <c r="D205" s="171"/>
      <c r="E205" s="172" t="s">
        <v>122</v>
      </c>
      <c r="F205" s="185">
        <v>438750</v>
      </c>
      <c r="G205" s="185">
        <f t="shared" ref="G205:G212" si="6">F205</f>
        <v>438750</v>
      </c>
      <c r="H205" s="185">
        <f t="shared" ref="H205:H206" si="7">$F$204</f>
        <v>438750</v>
      </c>
      <c r="I205" s="185">
        <f>$F$205</f>
        <v>438750</v>
      </c>
      <c r="J205" s="185"/>
      <c r="K205" s="185"/>
      <c r="L205" s="15"/>
      <c r="M205" s="15"/>
      <c r="N205" s="15"/>
      <c r="O205" s="15"/>
      <c r="P205" s="15"/>
      <c r="Q205" s="15"/>
      <c r="R205" s="15"/>
      <c r="V205" s="15"/>
    </row>
    <row r="206" spans="1:22" x14ac:dyDescent="0.4">
      <c r="A206" s="170" t="s">
        <v>24</v>
      </c>
      <c r="B206" s="3" t="s">
        <v>110</v>
      </c>
      <c r="C206" s="3" t="s">
        <v>1</v>
      </c>
      <c r="D206" s="171"/>
      <c r="E206" s="172" t="s">
        <v>123</v>
      </c>
      <c r="F206" s="185">
        <v>614250</v>
      </c>
      <c r="G206" s="185">
        <f t="shared" si="6"/>
        <v>614250</v>
      </c>
      <c r="H206" s="185">
        <f t="shared" si="7"/>
        <v>438750</v>
      </c>
      <c r="I206" s="185">
        <f>$F$205</f>
        <v>438750</v>
      </c>
      <c r="J206" s="185">
        <f>$F$206</f>
        <v>614250</v>
      </c>
      <c r="K206" s="185"/>
      <c r="L206" s="15"/>
      <c r="M206" s="15"/>
      <c r="N206" s="15"/>
      <c r="O206" s="15"/>
      <c r="P206" s="15"/>
      <c r="Q206" s="15"/>
      <c r="R206" s="15"/>
      <c r="V206" s="15"/>
    </row>
    <row r="207" spans="1:22" x14ac:dyDescent="0.4">
      <c r="A207" s="170" t="s">
        <v>24</v>
      </c>
      <c r="B207" s="3" t="s">
        <v>108</v>
      </c>
      <c r="C207" s="3" t="s">
        <v>2</v>
      </c>
      <c r="D207" s="171"/>
      <c r="E207" s="172" t="s">
        <v>124</v>
      </c>
      <c r="F207" s="185">
        <v>315900</v>
      </c>
      <c r="G207" s="185">
        <f t="shared" si="6"/>
        <v>315900</v>
      </c>
      <c r="H207" s="185">
        <f>$F$207</f>
        <v>315900</v>
      </c>
      <c r="I207" s="185"/>
      <c r="J207" s="185"/>
      <c r="K207" s="185"/>
      <c r="L207" s="15"/>
      <c r="M207" s="15"/>
      <c r="N207" s="15"/>
      <c r="O207" s="15"/>
      <c r="P207" s="15"/>
      <c r="Q207" s="15"/>
      <c r="R207" s="15"/>
      <c r="V207" s="15"/>
    </row>
    <row r="208" spans="1:22" x14ac:dyDescent="0.4">
      <c r="A208" s="170" t="s">
        <v>24</v>
      </c>
      <c r="B208" s="3" t="s">
        <v>109</v>
      </c>
      <c r="C208" s="3" t="s">
        <v>2</v>
      </c>
      <c r="D208" s="171"/>
      <c r="E208" s="172" t="s">
        <v>124</v>
      </c>
      <c r="F208" s="185">
        <v>315900</v>
      </c>
      <c r="G208" s="185">
        <f t="shared" si="6"/>
        <v>315900</v>
      </c>
      <c r="H208" s="185">
        <f t="shared" ref="H208:H209" si="8">$F$207</f>
        <v>315900</v>
      </c>
      <c r="I208" s="185">
        <f>$F$208</f>
        <v>315900</v>
      </c>
      <c r="J208" s="185"/>
      <c r="K208" s="185"/>
      <c r="L208" s="15"/>
      <c r="M208" s="15"/>
      <c r="N208" s="15"/>
      <c r="O208" s="15"/>
      <c r="P208" s="15"/>
      <c r="Q208" s="15"/>
      <c r="R208" s="15"/>
      <c r="V208" s="15"/>
    </row>
    <row r="209" spans="1:22" x14ac:dyDescent="0.4">
      <c r="A209" s="170" t="s">
        <v>24</v>
      </c>
      <c r="B209" s="3" t="s">
        <v>110</v>
      </c>
      <c r="C209" s="3" t="s">
        <v>2</v>
      </c>
      <c r="D209" s="171"/>
      <c r="E209" s="172" t="s">
        <v>125</v>
      </c>
      <c r="F209" s="185">
        <v>473850</v>
      </c>
      <c r="G209" s="185">
        <f t="shared" si="6"/>
        <v>473850</v>
      </c>
      <c r="H209" s="185">
        <f t="shared" si="8"/>
        <v>315900</v>
      </c>
      <c r="I209" s="185">
        <f>$F$208</f>
        <v>315900</v>
      </c>
      <c r="J209" s="185">
        <f>$F$209</f>
        <v>473850</v>
      </c>
      <c r="K209" s="185"/>
      <c r="L209" s="15"/>
      <c r="M209" s="15"/>
      <c r="N209" s="15"/>
      <c r="O209" s="15"/>
      <c r="P209" s="15"/>
      <c r="Q209" s="15"/>
      <c r="R209" s="15"/>
      <c r="V209" s="15"/>
    </row>
    <row r="210" spans="1:22" x14ac:dyDescent="0.4">
      <c r="A210" s="170" t="s">
        <v>24</v>
      </c>
      <c r="B210" s="3" t="s">
        <v>108</v>
      </c>
      <c r="C210" s="3" t="s">
        <v>0</v>
      </c>
      <c r="D210" s="171"/>
      <c r="E210" s="172" t="s">
        <v>120</v>
      </c>
      <c r="F210" s="185">
        <v>315900</v>
      </c>
      <c r="G210" s="185">
        <f t="shared" si="6"/>
        <v>315900</v>
      </c>
      <c r="H210" s="185">
        <f>$F$210</f>
        <v>315900</v>
      </c>
      <c r="I210" s="185"/>
      <c r="J210" s="185"/>
      <c r="K210" s="185"/>
      <c r="L210" s="15"/>
      <c r="M210" s="15"/>
      <c r="N210" s="15"/>
      <c r="O210" s="15"/>
      <c r="P210" s="15"/>
      <c r="Q210" s="15"/>
      <c r="R210" s="15"/>
      <c r="V210" s="15"/>
    </row>
    <row r="211" spans="1:22" x14ac:dyDescent="0.4">
      <c r="A211" s="170" t="s">
        <v>24</v>
      </c>
      <c r="B211" s="3" t="s">
        <v>109</v>
      </c>
      <c r="C211" s="3" t="s">
        <v>0</v>
      </c>
      <c r="D211" s="171"/>
      <c r="E211" s="172" t="s">
        <v>120</v>
      </c>
      <c r="F211" s="185">
        <v>315900</v>
      </c>
      <c r="G211" s="185">
        <f t="shared" si="6"/>
        <v>315900</v>
      </c>
      <c r="H211" s="185">
        <f t="shared" ref="H211:H212" si="9">$F$210</f>
        <v>315900</v>
      </c>
      <c r="I211" s="185">
        <f>$F$211</f>
        <v>315900</v>
      </c>
      <c r="J211" s="185"/>
      <c r="K211" s="185"/>
      <c r="L211" s="15"/>
      <c r="M211" s="15"/>
      <c r="N211" s="15"/>
      <c r="O211" s="15"/>
      <c r="P211" s="15"/>
      <c r="Q211" s="15"/>
      <c r="R211" s="15"/>
      <c r="V211" s="15"/>
    </row>
    <row r="212" spans="1:22" x14ac:dyDescent="0.4">
      <c r="A212" s="170" t="s">
        <v>24</v>
      </c>
      <c r="B212" s="3" t="s">
        <v>110</v>
      </c>
      <c r="C212" s="3" t="s">
        <v>0</v>
      </c>
      <c r="D212" s="171"/>
      <c r="E212" s="186" t="s">
        <v>121</v>
      </c>
      <c r="F212" s="185">
        <v>473850</v>
      </c>
      <c r="G212" s="185">
        <f t="shared" si="6"/>
        <v>473850</v>
      </c>
      <c r="H212" s="185">
        <f t="shared" si="9"/>
        <v>315900</v>
      </c>
      <c r="I212" s="185">
        <f>$F$211</f>
        <v>315900</v>
      </c>
      <c r="J212" s="185">
        <f>$F$212</f>
        <v>473850</v>
      </c>
      <c r="K212" s="185"/>
      <c r="L212" s="15"/>
      <c r="M212" s="15"/>
      <c r="N212" s="15"/>
      <c r="O212" s="15"/>
      <c r="P212" s="15"/>
      <c r="Q212" s="15"/>
      <c r="R212" s="15"/>
      <c r="V212" s="15"/>
    </row>
    <row r="213" spans="1:22" x14ac:dyDescent="0.4">
      <c r="A213" s="170" t="s">
        <v>28</v>
      </c>
      <c r="B213" s="3" t="s">
        <v>108</v>
      </c>
      <c r="C213" s="3" t="s">
        <v>1</v>
      </c>
      <c r="D213" s="171" t="s">
        <v>1058</v>
      </c>
      <c r="E213" s="172">
        <v>208</v>
      </c>
      <c r="F213" s="173">
        <v>335</v>
      </c>
      <c r="G213" s="173">
        <v>0</v>
      </c>
      <c r="H213" s="173">
        <f>$F$213</f>
        <v>335</v>
      </c>
      <c r="I213" s="173"/>
      <c r="J213" s="173"/>
      <c r="K213" s="173"/>
      <c r="L213" s="15"/>
      <c r="M213" s="15"/>
      <c r="N213" s="15"/>
      <c r="O213" s="15"/>
      <c r="P213" s="15"/>
      <c r="Q213" s="15"/>
      <c r="R213" s="15"/>
      <c r="V213" s="15"/>
    </row>
    <row r="214" spans="1:22" x14ac:dyDescent="0.4">
      <c r="A214" s="170" t="s">
        <v>28</v>
      </c>
      <c r="B214" s="3" t="s">
        <v>109</v>
      </c>
      <c r="C214" s="3" t="s">
        <v>1</v>
      </c>
      <c r="D214" s="171" t="s">
        <v>1057</v>
      </c>
      <c r="E214" s="172" t="s">
        <v>398</v>
      </c>
      <c r="F214" s="173">
        <f>$F$225+460</f>
        <v>1085</v>
      </c>
      <c r="G214" s="173">
        <f>F214</f>
        <v>1085</v>
      </c>
      <c r="H214" s="173">
        <f t="shared" ref="H214:H216" si="10">$F$213</f>
        <v>335</v>
      </c>
      <c r="I214" s="173">
        <f>$F$214</f>
        <v>1085</v>
      </c>
      <c r="J214" s="173"/>
      <c r="K214" s="173"/>
      <c r="L214" s="15"/>
      <c r="M214" s="15"/>
      <c r="N214" s="15"/>
      <c r="O214" s="15"/>
      <c r="P214" s="15"/>
      <c r="Q214" s="15"/>
      <c r="R214" s="15"/>
      <c r="V214" s="15"/>
    </row>
    <row r="215" spans="1:22" x14ac:dyDescent="0.4">
      <c r="A215" s="170" t="s">
        <v>28</v>
      </c>
      <c r="B215" s="3" t="s">
        <v>110</v>
      </c>
      <c r="C215" s="3" t="s">
        <v>1</v>
      </c>
      <c r="D215" s="159" t="s">
        <v>1059</v>
      </c>
      <c r="E215" s="172">
        <v>205</v>
      </c>
      <c r="F215" s="173">
        <f>$F$227+490</f>
        <v>1165</v>
      </c>
      <c r="G215" s="173">
        <f>F215</f>
        <v>1165</v>
      </c>
      <c r="H215" s="173">
        <f t="shared" si="10"/>
        <v>335</v>
      </c>
      <c r="I215" s="173">
        <f t="shared" ref="I215:I216" si="11">$F$214</f>
        <v>1085</v>
      </c>
      <c r="J215" s="173">
        <f>F215</f>
        <v>1165</v>
      </c>
      <c r="K215" s="173"/>
      <c r="L215" s="15"/>
      <c r="M215" s="15"/>
      <c r="N215" s="15"/>
      <c r="O215" s="15"/>
      <c r="P215" s="15"/>
      <c r="Q215" s="15"/>
      <c r="R215" s="15"/>
      <c r="V215" s="15"/>
    </row>
    <row r="216" spans="1:22" x14ac:dyDescent="0.4">
      <c r="A216" s="170" t="s">
        <v>28</v>
      </c>
      <c r="B216" s="3" t="s">
        <v>110</v>
      </c>
      <c r="C216" s="3" t="s">
        <v>1</v>
      </c>
      <c r="D216" s="159" t="s">
        <v>1060</v>
      </c>
      <c r="E216" s="172">
        <v>219</v>
      </c>
      <c r="F216" s="173">
        <f>$F$229+705</f>
        <v>4185</v>
      </c>
      <c r="G216" s="173">
        <v>0</v>
      </c>
      <c r="H216" s="173">
        <f t="shared" si="10"/>
        <v>335</v>
      </c>
      <c r="I216" s="173">
        <f t="shared" si="11"/>
        <v>1085</v>
      </c>
      <c r="J216" s="173">
        <f>F216</f>
        <v>4185</v>
      </c>
      <c r="K216" s="173"/>
      <c r="L216" s="15"/>
      <c r="M216" s="15"/>
      <c r="N216" s="15"/>
      <c r="O216" s="15"/>
      <c r="P216" s="15"/>
      <c r="Q216" s="15"/>
      <c r="R216" s="15"/>
      <c r="V216" s="15"/>
    </row>
    <row r="217" spans="1:22" x14ac:dyDescent="0.4">
      <c r="A217" s="170" t="s">
        <v>28</v>
      </c>
      <c r="B217" s="3" t="s">
        <v>108</v>
      </c>
      <c r="C217" s="3" t="s">
        <v>2</v>
      </c>
      <c r="D217" s="171"/>
      <c r="E217" s="172"/>
      <c r="F217" s="173">
        <v>0</v>
      </c>
      <c r="G217" s="173">
        <v>0</v>
      </c>
      <c r="H217" s="173">
        <v>0</v>
      </c>
      <c r="I217" s="173"/>
      <c r="J217" s="173"/>
      <c r="K217" s="173"/>
      <c r="L217" s="15"/>
      <c r="M217" s="15"/>
      <c r="N217" s="15"/>
      <c r="O217" s="15"/>
      <c r="P217" s="15"/>
      <c r="Q217" s="15"/>
      <c r="R217" s="15"/>
      <c r="V217" s="15"/>
    </row>
    <row r="218" spans="1:22" x14ac:dyDescent="0.4">
      <c r="A218" s="170" t="s">
        <v>28</v>
      </c>
      <c r="B218" s="3" t="s">
        <v>109</v>
      </c>
      <c r="C218" s="3" t="s">
        <v>2</v>
      </c>
      <c r="D218" s="171"/>
      <c r="E218" s="172" t="s">
        <v>395</v>
      </c>
      <c r="F218" s="173">
        <v>450</v>
      </c>
      <c r="G218" s="173">
        <f>F218</f>
        <v>450</v>
      </c>
      <c r="H218" s="173">
        <v>0</v>
      </c>
      <c r="I218" s="173">
        <f>$F$218</f>
        <v>450</v>
      </c>
      <c r="J218" s="173"/>
      <c r="K218" s="173"/>
      <c r="L218" s="15"/>
      <c r="M218" s="15"/>
      <c r="N218" s="15"/>
      <c r="O218" s="15"/>
      <c r="P218" s="15"/>
      <c r="Q218" s="15"/>
      <c r="R218" s="15"/>
      <c r="V218" s="15"/>
    </row>
    <row r="219" spans="1:22" x14ac:dyDescent="0.4">
      <c r="A219" s="170" t="s">
        <v>28</v>
      </c>
      <c r="B219" s="3" t="s">
        <v>109</v>
      </c>
      <c r="C219" s="3" t="s">
        <v>2</v>
      </c>
      <c r="D219" s="187" t="s">
        <v>397</v>
      </c>
      <c r="E219" s="172" t="s">
        <v>323</v>
      </c>
      <c r="F219" s="173">
        <v>235</v>
      </c>
      <c r="G219" s="173">
        <v>0</v>
      </c>
      <c r="H219" s="173">
        <v>0</v>
      </c>
      <c r="I219" s="173">
        <f t="shared" ref="I219:I223" si="12">$F$218</f>
        <v>450</v>
      </c>
      <c r="J219" s="173"/>
      <c r="K219" s="173"/>
      <c r="L219" s="15"/>
      <c r="M219" s="15"/>
      <c r="N219" s="15"/>
      <c r="O219" s="15"/>
      <c r="P219" s="15"/>
      <c r="Q219" s="15"/>
      <c r="R219" s="15"/>
      <c r="V219" s="15"/>
    </row>
    <row r="220" spans="1:22" x14ac:dyDescent="0.4">
      <c r="A220" s="170" t="s">
        <v>28</v>
      </c>
      <c r="B220" s="3" t="s">
        <v>110</v>
      </c>
      <c r="C220" s="3" t="s">
        <v>2</v>
      </c>
      <c r="D220" s="171" t="s">
        <v>29</v>
      </c>
      <c r="E220" s="172">
        <v>221</v>
      </c>
      <c r="F220" s="173">
        <v>450</v>
      </c>
      <c r="G220" s="173">
        <f>F220</f>
        <v>450</v>
      </c>
      <c r="H220" s="173">
        <v>0</v>
      </c>
      <c r="I220" s="173">
        <f t="shared" si="12"/>
        <v>450</v>
      </c>
      <c r="J220" s="173">
        <f>F220</f>
        <v>450</v>
      </c>
      <c r="K220" s="173"/>
      <c r="L220" s="15"/>
      <c r="M220" s="15"/>
      <c r="N220" s="15"/>
      <c r="O220" s="15"/>
      <c r="P220" s="15"/>
      <c r="Q220" s="15"/>
      <c r="R220" s="15"/>
      <c r="V220" s="15"/>
    </row>
    <row r="221" spans="1:22" x14ac:dyDescent="0.4">
      <c r="A221" s="170" t="s">
        <v>28</v>
      </c>
      <c r="B221" s="3" t="s">
        <v>110</v>
      </c>
      <c r="C221" s="3" t="s">
        <v>2</v>
      </c>
      <c r="D221" s="182" t="s">
        <v>318</v>
      </c>
      <c r="E221" s="172" t="s">
        <v>325</v>
      </c>
      <c r="F221" s="173">
        <v>235</v>
      </c>
      <c r="G221" s="173">
        <f t="shared" ref="G221:G223" si="13">F221</f>
        <v>235</v>
      </c>
      <c r="H221" s="173">
        <v>0</v>
      </c>
      <c r="I221" s="173">
        <f t="shared" si="12"/>
        <v>450</v>
      </c>
      <c r="J221" s="173">
        <f t="shared" ref="J221:J223" si="14">F221</f>
        <v>235</v>
      </c>
      <c r="K221" s="176"/>
      <c r="L221" s="15"/>
      <c r="M221" s="15"/>
      <c r="N221" s="15"/>
      <c r="O221" s="15"/>
      <c r="P221" s="15"/>
      <c r="Q221" s="15"/>
      <c r="R221" s="15"/>
      <c r="V221" s="15"/>
    </row>
    <row r="222" spans="1:22" x14ac:dyDescent="0.4">
      <c r="A222" s="170" t="s">
        <v>28</v>
      </c>
      <c r="B222" s="3" t="s">
        <v>110</v>
      </c>
      <c r="C222" s="3" t="s">
        <v>2</v>
      </c>
      <c r="D222" s="182" t="s">
        <v>5</v>
      </c>
      <c r="E222" s="172">
        <v>220</v>
      </c>
      <c r="F222" s="173">
        <v>2405</v>
      </c>
      <c r="G222" s="173">
        <f t="shared" si="13"/>
        <v>2405</v>
      </c>
      <c r="H222" s="173">
        <v>0</v>
      </c>
      <c r="I222" s="173">
        <f t="shared" si="12"/>
        <v>450</v>
      </c>
      <c r="J222" s="173">
        <f t="shared" si="14"/>
        <v>2405</v>
      </c>
      <c r="K222" s="173"/>
      <c r="L222" s="15"/>
      <c r="M222" s="15"/>
      <c r="N222" s="15"/>
      <c r="O222" s="15"/>
      <c r="P222" s="15"/>
      <c r="Q222" s="15"/>
      <c r="R222" s="15"/>
      <c r="V222" s="15"/>
    </row>
    <row r="223" spans="1:22" x14ac:dyDescent="0.4">
      <c r="A223" s="170" t="s">
        <v>28</v>
      </c>
      <c r="B223" s="3" t="s">
        <v>110</v>
      </c>
      <c r="C223" s="3" t="s">
        <v>2</v>
      </c>
      <c r="D223" s="182" t="s">
        <v>319</v>
      </c>
      <c r="E223" s="172" t="s">
        <v>324</v>
      </c>
      <c r="F223" s="173">
        <v>450</v>
      </c>
      <c r="G223" s="173">
        <f t="shared" si="13"/>
        <v>450</v>
      </c>
      <c r="H223" s="173">
        <v>0</v>
      </c>
      <c r="I223" s="173">
        <f t="shared" si="12"/>
        <v>450</v>
      </c>
      <c r="J223" s="173">
        <f t="shared" si="14"/>
        <v>450</v>
      </c>
      <c r="K223" s="176"/>
      <c r="L223" s="15"/>
      <c r="M223" s="15"/>
      <c r="N223" s="15"/>
      <c r="O223" s="15"/>
      <c r="P223" s="15"/>
      <c r="Q223" s="15"/>
      <c r="R223" s="15"/>
      <c r="V223" s="15"/>
    </row>
    <row r="224" spans="1:22" x14ac:dyDescent="0.4">
      <c r="A224" s="170" t="s">
        <v>28</v>
      </c>
      <c r="B224" s="3" t="s">
        <v>108</v>
      </c>
      <c r="C224" s="3" t="s">
        <v>0</v>
      </c>
      <c r="D224" s="171"/>
      <c r="E224" s="172"/>
      <c r="F224" s="173">
        <v>0</v>
      </c>
      <c r="G224" s="173">
        <v>0</v>
      </c>
      <c r="H224" s="173">
        <v>0</v>
      </c>
      <c r="I224" s="173"/>
      <c r="J224" s="173"/>
      <c r="K224" s="173"/>
      <c r="L224" s="15"/>
      <c r="M224" s="15"/>
      <c r="N224" s="15"/>
      <c r="O224" s="15"/>
      <c r="P224" s="15"/>
      <c r="Q224" s="15"/>
      <c r="R224" s="15"/>
      <c r="V224" s="15"/>
    </row>
    <row r="225" spans="1:22" x14ac:dyDescent="0.4">
      <c r="A225" s="170" t="s">
        <v>28</v>
      </c>
      <c r="B225" s="3" t="s">
        <v>109</v>
      </c>
      <c r="C225" s="3" t="s">
        <v>0</v>
      </c>
      <c r="D225" s="171"/>
      <c r="E225" s="172" t="s">
        <v>396</v>
      </c>
      <c r="F225" s="173">
        <v>625</v>
      </c>
      <c r="G225" s="173">
        <f>F225</f>
        <v>625</v>
      </c>
      <c r="H225" s="173">
        <v>0</v>
      </c>
      <c r="I225" s="173">
        <f>$F$225</f>
        <v>625</v>
      </c>
      <c r="J225" s="173"/>
      <c r="K225" s="173"/>
      <c r="L225" s="15"/>
      <c r="M225" s="15"/>
      <c r="N225" s="15"/>
      <c r="O225" s="15"/>
      <c r="P225" s="15"/>
      <c r="Q225" s="15"/>
      <c r="R225" s="15"/>
      <c r="V225" s="15"/>
    </row>
    <row r="226" spans="1:22" x14ac:dyDescent="0.4">
      <c r="A226" s="170" t="s">
        <v>28</v>
      </c>
      <c r="B226" s="3" t="s">
        <v>109</v>
      </c>
      <c r="C226" s="3" t="s">
        <v>0</v>
      </c>
      <c r="D226" s="187" t="s">
        <v>317</v>
      </c>
      <c r="E226" s="172" t="s">
        <v>316</v>
      </c>
      <c r="F226" s="173">
        <v>320</v>
      </c>
      <c r="G226" s="173">
        <v>0</v>
      </c>
      <c r="H226" s="173">
        <v>0</v>
      </c>
      <c r="I226" s="173">
        <f t="shared" ref="I226:I230" si="15">$F$225</f>
        <v>625</v>
      </c>
      <c r="J226" s="173"/>
      <c r="K226" s="176"/>
      <c r="L226" s="15"/>
      <c r="M226" s="15"/>
      <c r="N226" s="15"/>
      <c r="O226" s="15"/>
      <c r="P226" s="15"/>
      <c r="Q226" s="15"/>
      <c r="R226" s="15"/>
      <c r="V226" s="15"/>
    </row>
    <row r="227" spans="1:22" x14ac:dyDescent="0.4">
      <c r="A227" s="170" t="s">
        <v>28</v>
      </c>
      <c r="B227" s="3" t="s">
        <v>110</v>
      </c>
      <c r="C227" s="3" t="s">
        <v>0</v>
      </c>
      <c r="D227" s="171" t="s">
        <v>29</v>
      </c>
      <c r="E227" s="172">
        <v>217</v>
      </c>
      <c r="F227" s="173">
        <v>675</v>
      </c>
      <c r="G227" s="173">
        <f>F227</f>
        <v>675</v>
      </c>
      <c r="H227" s="173">
        <v>0</v>
      </c>
      <c r="I227" s="173">
        <f t="shared" si="15"/>
        <v>625</v>
      </c>
      <c r="J227" s="173">
        <f>F227</f>
        <v>675</v>
      </c>
      <c r="K227" s="173"/>
      <c r="L227" s="15"/>
      <c r="M227" s="15"/>
      <c r="N227" s="15"/>
      <c r="O227" s="15"/>
      <c r="P227" s="15"/>
      <c r="Q227" s="15"/>
      <c r="R227" s="15"/>
      <c r="V227" s="15"/>
    </row>
    <row r="228" spans="1:22" x14ac:dyDescent="0.4">
      <c r="A228" s="170" t="s">
        <v>28</v>
      </c>
      <c r="B228" s="3" t="s">
        <v>110</v>
      </c>
      <c r="C228" s="3" t="s">
        <v>0</v>
      </c>
      <c r="D228" s="182" t="s">
        <v>318</v>
      </c>
      <c r="E228" s="172" t="s">
        <v>320</v>
      </c>
      <c r="F228" s="173">
        <v>340</v>
      </c>
      <c r="G228" s="173">
        <f t="shared" ref="G228:G230" si="16">F228</f>
        <v>340</v>
      </c>
      <c r="H228" s="173">
        <v>0</v>
      </c>
      <c r="I228" s="173">
        <f t="shared" si="15"/>
        <v>625</v>
      </c>
      <c r="J228" s="173">
        <f t="shared" ref="J228:J230" si="17">F228</f>
        <v>340</v>
      </c>
      <c r="K228" s="176"/>
      <c r="L228" s="15"/>
      <c r="M228" s="15"/>
      <c r="N228" s="15"/>
      <c r="O228" s="15"/>
      <c r="P228" s="15"/>
      <c r="Q228" s="15"/>
      <c r="R228" s="15"/>
      <c r="V228" s="15"/>
    </row>
    <row r="229" spans="1:22" x14ac:dyDescent="0.4">
      <c r="A229" s="170" t="s">
        <v>28</v>
      </c>
      <c r="B229" s="3" t="s">
        <v>110</v>
      </c>
      <c r="C229" s="3" t="s">
        <v>0</v>
      </c>
      <c r="D229" s="182" t="s">
        <v>5</v>
      </c>
      <c r="E229" s="172">
        <v>216</v>
      </c>
      <c r="F229" s="173">
        <v>3480</v>
      </c>
      <c r="G229" s="173">
        <f t="shared" si="16"/>
        <v>3480</v>
      </c>
      <c r="H229" s="173">
        <v>0</v>
      </c>
      <c r="I229" s="173">
        <f t="shared" si="15"/>
        <v>625</v>
      </c>
      <c r="J229" s="173">
        <f t="shared" si="17"/>
        <v>3480</v>
      </c>
      <c r="K229" s="173"/>
      <c r="L229" s="15"/>
      <c r="M229" s="15"/>
      <c r="N229" s="15"/>
      <c r="O229" s="15"/>
      <c r="P229" s="15"/>
      <c r="Q229" s="15"/>
      <c r="R229" s="15"/>
      <c r="V229" s="15"/>
    </row>
    <row r="230" spans="1:22" x14ac:dyDescent="0.4">
      <c r="A230" s="170" t="s">
        <v>28</v>
      </c>
      <c r="B230" s="3" t="s">
        <v>110</v>
      </c>
      <c r="C230" s="3" t="s">
        <v>0</v>
      </c>
      <c r="D230" s="182" t="s">
        <v>319</v>
      </c>
      <c r="E230" s="172" t="s">
        <v>321</v>
      </c>
      <c r="F230" s="173">
        <v>675</v>
      </c>
      <c r="G230" s="173">
        <f t="shared" si="16"/>
        <v>675</v>
      </c>
      <c r="H230" s="173">
        <v>0</v>
      </c>
      <c r="I230" s="173">
        <f t="shared" si="15"/>
        <v>625</v>
      </c>
      <c r="J230" s="173">
        <f t="shared" si="17"/>
        <v>675</v>
      </c>
      <c r="K230" s="176"/>
      <c r="L230" s="15"/>
      <c r="M230" s="15"/>
      <c r="N230" s="15"/>
      <c r="O230" s="15"/>
      <c r="P230" s="15"/>
      <c r="Q230" s="15"/>
      <c r="R230" s="15"/>
      <c r="V230" s="15"/>
    </row>
    <row r="231" spans="1:22" x14ac:dyDescent="0.4">
      <c r="A231" s="170" t="s">
        <v>25</v>
      </c>
      <c r="B231" s="3" t="s">
        <v>108</v>
      </c>
      <c r="C231" s="3" t="s">
        <v>1</v>
      </c>
      <c r="D231" s="171"/>
      <c r="E231" s="172" t="s">
        <v>454</v>
      </c>
      <c r="F231" s="188">
        <v>58300</v>
      </c>
      <c r="G231" s="188">
        <f>F231</f>
        <v>58300</v>
      </c>
      <c r="H231" s="188">
        <f>$F$231</f>
        <v>58300</v>
      </c>
      <c r="I231" s="188"/>
      <c r="J231" s="188"/>
      <c r="K231" s="188"/>
      <c r="L231" s="15"/>
      <c r="M231" s="15"/>
      <c r="N231" s="15"/>
      <c r="O231" s="15"/>
      <c r="P231" s="15"/>
      <c r="Q231" s="15"/>
      <c r="R231" s="15"/>
      <c r="V231" s="15"/>
    </row>
    <row r="232" spans="1:22" x14ac:dyDescent="0.4">
      <c r="A232" s="170" t="s">
        <v>25</v>
      </c>
      <c r="B232" s="3" t="s">
        <v>109</v>
      </c>
      <c r="C232" s="3" t="s">
        <v>1</v>
      </c>
      <c r="D232" s="171"/>
      <c r="E232" s="172" t="s">
        <v>455</v>
      </c>
      <c r="F232" s="188">
        <v>87200</v>
      </c>
      <c r="G232" s="188">
        <f t="shared" ref="G232:G235" si="18">F232</f>
        <v>87200</v>
      </c>
      <c r="H232" s="188">
        <f t="shared" ref="H232:H235" si="19">$F$231</f>
        <v>58300</v>
      </c>
      <c r="I232" s="188">
        <f>$F$232</f>
        <v>87200</v>
      </c>
      <c r="J232" s="188"/>
      <c r="K232" s="188"/>
      <c r="L232" s="15"/>
      <c r="M232" s="15"/>
      <c r="N232" s="15"/>
      <c r="O232" s="15"/>
      <c r="P232" s="15"/>
      <c r="Q232" s="15"/>
      <c r="R232" s="15"/>
      <c r="V232" s="15"/>
    </row>
    <row r="233" spans="1:22" x14ac:dyDescent="0.4">
      <c r="A233" s="170" t="s">
        <v>25</v>
      </c>
      <c r="B233" s="3" t="s">
        <v>110</v>
      </c>
      <c r="C233" s="3" t="s">
        <v>1</v>
      </c>
      <c r="D233" s="171"/>
      <c r="E233" s="172" t="s">
        <v>456</v>
      </c>
      <c r="F233" s="188">
        <v>425000</v>
      </c>
      <c r="G233" s="188">
        <f t="shared" si="18"/>
        <v>425000</v>
      </c>
      <c r="H233" s="188">
        <f t="shared" si="19"/>
        <v>58300</v>
      </c>
      <c r="I233" s="188">
        <f t="shared" ref="I233:I235" si="20">$F$232</f>
        <v>87200</v>
      </c>
      <c r="J233" s="188">
        <f>F233</f>
        <v>425000</v>
      </c>
      <c r="K233" s="188"/>
      <c r="L233" s="15"/>
      <c r="M233" s="15"/>
      <c r="N233" s="15"/>
      <c r="O233" s="15"/>
      <c r="P233" s="15"/>
      <c r="Q233" s="15"/>
      <c r="R233" s="15"/>
      <c r="V233" s="15"/>
    </row>
    <row r="234" spans="1:22" x14ac:dyDescent="0.4">
      <c r="A234" s="170" t="s">
        <v>25</v>
      </c>
      <c r="B234" s="3" t="s">
        <v>110</v>
      </c>
      <c r="C234" s="3" t="s">
        <v>1</v>
      </c>
      <c r="D234" s="171" t="s">
        <v>26</v>
      </c>
      <c r="E234" s="172" t="s">
        <v>457</v>
      </c>
      <c r="F234" s="188">
        <v>772500</v>
      </c>
      <c r="G234" s="188">
        <f t="shared" si="18"/>
        <v>772500</v>
      </c>
      <c r="H234" s="188">
        <f t="shared" si="19"/>
        <v>58300</v>
      </c>
      <c r="I234" s="188">
        <f t="shared" si="20"/>
        <v>87200</v>
      </c>
      <c r="J234" s="188">
        <f t="shared" ref="J234:J235" si="21">F234</f>
        <v>772500</v>
      </c>
      <c r="K234" s="188"/>
      <c r="L234" s="15"/>
      <c r="M234" s="15"/>
      <c r="N234" s="15"/>
      <c r="O234" s="15"/>
      <c r="P234" s="15"/>
      <c r="Q234" s="15"/>
      <c r="R234" s="15"/>
      <c r="V234" s="15"/>
    </row>
    <row r="235" spans="1:22" x14ac:dyDescent="0.4">
      <c r="A235" s="170" t="s">
        <v>25</v>
      </c>
      <c r="B235" s="3" t="s">
        <v>110</v>
      </c>
      <c r="C235" s="3" t="s">
        <v>1</v>
      </c>
      <c r="D235" s="171" t="s">
        <v>27</v>
      </c>
      <c r="E235" s="172" t="s">
        <v>458</v>
      </c>
      <c r="F235" s="188">
        <v>434000</v>
      </c>
      <c r="G235" s="188">
        <f t="shared" si="18"/>
        <v>434000</v>
      </c>
      <c r="H235" s="188">
        <f t="shared" si="19"/>
        <v>58300</v>
      </c>
      <c r="I235" s="188">
        <f t="shared" si="20"/>
        <v>87200</v>
      </c>
      <c r="J235" s="188">
        <f t="shared" si="21"/>
        <v>434000</v>
      </c>
      <c r="K235" s="188"/>
      <c r="L235" s="15"/>
      <c r="M235" s="15"/>
      <c r="N235" s="15"/>
      <c r="O235" s="15"/>
      <c r="P235" s="15"/>
      <c r="Q235" s="15"/>
      <c r="R235" s="15"/>
      <c r="V235" s="15"/>
    </row>
    <row r="236" spans="1:22" x14ac:dyDescent="0.4">
      <c r="A236" s="170" t="s">
        <v>25</v>
      </c>
      <c r="B236" s="3" t="s">
        <v>108</v>
      </c>
      <c r="C236" s="3" t="s">
        <v>2</v>
      </c>
      <c r="D236" s="171"/>
      <c r="E236" s="172" t="s">
        <v>490</v>
      </c>
      <c r="F236" s="188">
        <v>17500</v>
      </c>
      <c r="G236" s="188">
        <f>F236</f>
        <v>17500</v>
      </c>
      <c r="H236" s="188">
        <f>$F$236</f>
        <v>17500</v>
      </c>
      <c r="I236" s="188"/>
      <c r="J236" s="188"/>
      <c r="K236" s="188"/>
      <c r="L236" s="15"/>
      <c r="M236" s="15"/>
      <c r="N236" s="15"/>
      <c r="O236" s="15"/>
      <c r="P236" s="15"/>
      <c r="Q236" s="15"/>
      <c r="R236" s="15"/>
      <c r="V236" s="15"/>
    </row>
    <row r="237" spans="1:22" x14ac:dyDescent="0.4">
      <c r="A237" s="170" t="s">
        <v>25</v>
      </c>
      <c r="B237" s="3" t="s">
        <v>109</v>
      </c>
      <c r="C237" s="3" t="s">
        <v>2</v>
      </c>
      <c r="D237" s="171" t="s">
        <v>36</v>
      </c>
      <c r="E237" s="172"/>
      <c r="F237" s="188">
        <v>0</v>
      </c>
      <c r="G237" s="188">
        <f>Tabelle4[[#This Row],[1st strength]]</f>
        <v>0</v>
      </c>
      <c r="H237" s="188">
        <v>0</v>
      </c>
      <c r="I237" s="176"/>
      <c r="J237" s="176"/>
      <c r="K237" s="176"/>
      <c r="L237" s="15"/>
      <c r="M237" s="15"/>
      <c r="N237" s="15"/>
      <c r="O237" s="15"/>
      <c r="P237" s="15"/>
      <c r="Q237" s="15"/>
      <c r="R237" s="15"/>
      <c r="V237" s="15"/>
    </row>
    <row r="238" spans="1:22" x14ac:dyDescent="0.4">
      <c r="A238" s="170" t="s">
        <v>25</v>
      </c>
      <c r="B238" s="3" t="s">
        <v>109</v>
      </c>
      <c r="C238" s="3" t="s">
        <v>2</v>
      </c>
      <c r="D238" s="171"/>
      <c r="E238" s="172" t="s">
        <v>134</v>
      </c>
      <c r="F238" s="188">
        <v>34200</v>
      </c>
      <c r="G238" s="188">
        <f>F238</f>
        <v>34200</v>
      </c>
      <c r="H238" s="188">
        <f>$F$236</f>
        <v>17500</v>
      </c>
      <c r="I238" s="188">
        <f>$F$238</f>
        <v>34200</v>
      </c>
      <c r="J238" s="188"/>
      <c r="K238" s="188"/>
      <c r="L238" s="15"/>
      <c r="M238" s="15"/>
      <c r="N238" s="15"/>
      <c r="O238" s="15"/>
      <c r="P238" s="15"/>
      <c r="Q238" s="15"/>
      <c r="R238" s="15"/>
      <c r="V238" s="15"/>
    </row>
    <row r="239" spans="1:22" x14ac:dyDescent="0.4">
      <c r="A239" s="170" t="s">
        <v>25</v>
      </c>
      <c r="B239" s="3" t="s">
        <v>109</v>
      </c>
      <c r="C239" s="3" t="s">
        <v>2</v>
      </c>
      <c r="D239" s="171" t="s">
        <v>36</v>
      </c>
      <c r="E239" s="172"/>
      <c r="F239" s="188">
        <v>0</v>
      </c>
      <c r="G239" s="188">
        <f>Tabelle4[[#This Row],[1st strength]]</f>
        <v>0</v>
      </c>
      <c r="H239" s="188">
        <v>0</v>
      </c>
      <c r="I239" s="176"/>
      <c r="J239" s="176"/>
      <c r="K239" s="176"/>
      <c r="L239" s="15"/>
      <c r="M239" s="15"/>
      <c r="N239" s="15"/>
      <c r="O239" s="15"/>
      <c r="P239" s="15"/>
      <c r="Q239" s="15"/>
      <c r="R239" s="15"/>
      <c r="V239" s="15"/>
    </row>
    <row r="240" spans="1:22" x14ac:dyDescent="0.4">
      <c r="A240" s="170" t="s">
        <v>25</v>
      </c>
      <c r="B240" s="3" t="s">
        <v>110</v>
      </c>
      <c r="C240" s="3" t="s">
        <v>2</v>
      </c>
      <c r="D240" s="171"/>
      <c r="E240" s="172" t="s">
        <v>467</v>
      </c>
      <c r="F240" s="188">
        <v>56400</v>
      </c>
      <c r="G240" s="188">
        <f>F240</f>
        <v>56400</v>
      </c>
      <c r="H240" s="188">
        <f t="shared" ref="H240:H242" si="22">$F$236</f>
        <v>17500</v>
      </c>
      <c r="I240" s="188">
        <f t="shared" ref="I240:I242" si="23">$F$238</f>
        <v>34200</v>
      </c>
      <c r="J240" s="188">
        <f>F240</f>
        <v>56400</v>
      </c>
      <c r="K240" s="188"/>
      <c r="L240" s="15"/>
      <c r="M240" s="15"/>
      <c r="N240" s="15"/>
      <c r="O240" s="15"/>
      <c r="P240" s="15"/>
      <c r="Q240" s="15"/>
      <c r="R240" s="15"/>
      <c r="V240" s="15"/>
    </row>
    <row r="241" spans="1:22" x14ac:dyDescent="0.4">
      <c r="A241" s="170" t="s">
        <v>25</v>
      </c>
      <c r="B241" s="3" t="s">
        <v>110</v>
      </c>
      <c r="C241" s="3" t="s">
        <v>2</v>
      </c>
      <c r="D241" s="171" t="s">
        <v>26</v>
      </c>
      <c r="E241" s="172" t="s">
        <v>135</v>
      </c>
      <c r="F241" s="188">
        <v>64900</v>
      </c>
      <c r="G241" s="188">
        <f t="shared" ref="G241:G242" si="24">F241</f>
        <v>64900</v>
      </c>
      <c r="H241" s="188">
        <f t="shared" si="22"/>
        <v>17500</v>
      </c>
      <c r="I241" s="188">
        <f t="shared" si="23"/>
        <v>34200</v>
      </c>
      <c r="J241" s="188">
        <f t="shared" ref="J241:J242" si="25">F241</f>
        <v>64900</v>
      </c>
      <c r="K241" s="188"/>
      <c r="L241" s="15"/>
      <c r="M241" s="15"/>
      <c r="N241" s="15"/>
      <c r="O241" s="15"/>
      <c r="P241" s="15"/>
      <c r="Q241" s="15"/>
      <c r="R241" s="15"/>
      <c r="V241" s="15"/>
    </row>
    <row r="242" spans="1:22" x14ac:dyDescent="0.4">
      <c r="A242" s="170" t="s">
        <v>25</v>
      </c>
      <c r="B242" s="3" t="s">
        <v>110</v>
      </c>
      <c r="C242" s="3" t="s">
        <v>2</v>
      </c>
      <c r="D242" s="171" t="s">
        <v>27</v>
      </c>
      <c r="E242" s="172" t="s">
        <v>136</v>
      </c>
      <c r="F242" s="188">
        <v>64900</v>
      </c>
      <c r="G242" s="188">
        <f t="shared" si="24"/>
        <v>64900</v>
      </c>
      <c r="H242" s="188">
        <f t="shared" si="22"/>
        <v>17500</v>
      </c>
      <c r="I242" s="188">
        <f t="shared" si="23"/>
        <v>34200</v>
      </c>
      <c r="J242" s="188">
        <f t="shared" si="25"/>
        <v>64900</v>
      </c>
      <c r="K242" s="188"/>
      <c r="L242" s="15"/>
      <c r="M242" s="15"/>
      <c r="N242" s="15"/>
      <c r="O242" s="15"/>
      <c r="P242" s="15"/>
      <c r="Q242" s="15"/>
      <c r="R242" s="15"/>
      <c r="V242" s="15"/>
    </row>
    <row r="243" spans="1:22" x14ac:dyDescent="0.4">
      <c r="A243" s="170" t="s">
        <v>25</v>
      </c>
      <c r="B243" s="3" t="s">
        <v>108</v>
      </c>
      <c r="C243" s="3" t="s">
        <v>0</v>
      </c>
      <c r="D243" s="171"/>
      <c r="E243" s="172" t="s">
        <v>459</v>
      </c>
      <c r="F243" s="188">
        <v>39000</v>
      </c>
      <c r="G243" s="188">
        <f>F243</f>
        <v>39000</v>
      </c>
      <c r="H243" s="188">
        <f>$F$243</f>
        <v>39000</v>
      </c>
      <c r="I243" s="188"/>
      <c r="J243" s="188"/>
      <c r="K243" s="188"/>
      <c r="L243" s="15"/>
      <c r="M243" s="15"/>
      <c r="N243" s="15"/>
      <c r="O243" s="15"/>
      <c r="P243" s="15"/>
      <c r="Q243" s="15"/>
      <c r="R243" s="15"/>
      <c r="V243" s="15"/>
    </row>
    <row r="244" spans="1:22" x14ac:dyDescent="0.4">
      <c r="A244" s="170" t="s">
        <v>25</v>
      </c>
      <c r="B244" s="3" t="s">
        <v>109</v>
      </c>
      <c r="C244" s="3" t="s">
        <v>0</v>
      </c>
      <c r="D244" s="171"/>
      <c r="E244" s="172" t="s">
        <v>130</v>
      </c>
      <c r="F244" s="188">
        <v>50400</v>
      </c>
      <c r="G244" s="188">
        <f t="shared" ref="G244:G247" si="26">F244</f>
        <v>50400</v>
      </c>
      <c r="H244" s="188">
        <f t="shared" ref="H244:H247" si="27">$F$243</f>
        <v>39000</v>
      </c>
      <c r="I244" s="188">
        <f>$F$244</f>
        <v>50400</v>
      </c>
      <c r="J244" s="188"/>
      <c r="K244" s="188"/>
      <c r="L244" s="15"/>
      <c r="M244" s="15"/>
      <c r="N244" s="15"/>
      <c r="O244" s="15"/>
      <c r="P244" s="15"/>
      <c r="Q244" s="15"/>
      <c r="R244" s="15"/>
      <c r="V244" s="15"/>
    </row>
    <row r="245" spans="1:22" x14ac:dyDescent="0.4">
      <c r="A245" s="170" t="s">
        <v>25</v>
      </c>
      <c r="B245" s="3" t="s">
        <v>110</v>
      </c>
      <c r="C245" s="3" t="s">
        <v>0</v>
      </c>
      <c r="D245" s="171"/>
      <c r="E245" s="172" t="s">
        <v>133</v>
      </c>
      <c r="F245" s="188">
        <v>176700</v>
      </c>
      <c r="G245" s="188">
        <f t="shared" si="26"/>
        <v>176700</v>
      </c>
      <c r="H245" s="188">
        <f t="shared" si="27"/>
        <v>39000</v>
      </c>
      <c r="I245" s="188">
        <f t="shared" ref="I245:I247" si="28">$F$244</f>
        <v>50400</v>
      </c>
      <c r="J245" s="188">
        <f>F245</f>
        <v>176700</v>
      </c>
      <c r="K245" s="188"/>
      <c r="L245" s="15"/>
      <c r="M245" s="15"/>
      <c r="N245" s="15"/>
      <c r="O245" s="15"/>
      <c r="P245" s="15"/>
      <c r="Q245" s="15"/>
      <c r="R245" s="15"/>
      <c r="V245" s="15"/>
    </row>
    <row r="246" spans="1:22" x14ac:dyDescent="0.4">
      <c r="A246" s="170" t="s">
        <v>25</v>
      </c>
      <c r="B246" s="3" t="s">
        <v>110</v>
      </c>
      <c r="C246" s="3" t="s">
        <v>0</v>
      </c>
      <c r="D246" s="171" t="s">
        <v>26</v>
      </c>
      <c r="E246" s="172" t="s">
        <v>131</v>
      </c>
      <c r="F246" s="188">
        <v>467700</v>
      </c>
      <c r="G246" s="188">
        <f t="shared" si="26"/>
        <v>467700</v>
      </c>
      <c r="H246" s="188">
        <f t="shared" si="27"/>
        <v>39000</v>
      </c>
      <c r="I246" s="188">
        <f t="shared" si="28"/>
        <v>50400</v>
      </c>
      <c r="J246" s="188">
        <f t="shared" ref="J246:J247" si="29">F246</f>
        <v>467700</v>
      </c>
      <c r="K246" s="188"/>
      <c r="L246" s="15"/>
      <c r="M246" s="15"/>
      <c r="N246" s="15"/>
      <c r="O246" s="15"/>
      <c r="P246" s="15"/>
      <c r="Q246" s="15"/>
      <c r="R246" s="15"/>
      <c r="V246" s="15"/>
    </row>
    <row r="247" spans="1:22" x14ac:dyDescent="0.4">
      <c r="A247" s="170" t="s">
        <v>25</v>
      </c>
      <c r="B247" s="3" t="s">
        <v>110</v>
      </c>
      <c r="C247" s="3" t="s">
        <v>0</v>
      </c>
      <c r="D247" s="171" t="s">
        <v>27</v>
      </c>
      <c r="E247" s="172" t="s">
        <v>132</v>
      </c>
      <c r="F247" s="188">
        <v>273500</v>
      </c>
      <c r="G247" s="188">
        <f t="shared" si="26"/>
        <v>273500</v>
      </c>
      <c r="H247" s="188">
        <f t="shared" si="27"/>
        <v>39000</v>
      </c>
      <c r="I247" s="188">
        <f t="shared" si="28"/>
        <v>50400</v>
      </c>
      <c r="J247" s="188">
        <f t="shared" si="29"/>
        <v>273500</v>
      </c>
      <c r="K247" s="188"/>
      <c r="L247" s="15"/>
      <c r="M247" s="15"/>
      <c r="N247" s="15"/>
      <c r="O247" s="15"/>
      <c r="P247" s="15"/>
      <c r="Q247" s="15"/>
      <c r="R247" s="15"/>
      <c r="V247" s="15"/>
    </row>
    <row r="248" spans="1:22" x14ac:dyDescent="0.4">
      <c r="A248" s="170" t="s">
        <v>30</v>
      </c>
      <c r="B248" s="3" t="s">
        <v>108</v>
      </c>
      <c r="C248" s="3" t="s">
        <v>1</v>
      </c>
      <c r="D248" s="171"/>
      <c r="E248" s="172" t="s">
        <v>255</v>
      </c>
      <c r="F248" s="173">
        <v>1041.96</v>
      </c>
      <c r="G248" s="173">
        <v>0</v>
      </c>
      <c r="H248" s="173">
        <f>$F$248</f>
        <v>1041.96</v>
      </c>
      <c r="I248" s="173"/>
      <c r="J248" s="173"/>
      <c r="K248" s="173"/>
      <c r="L248" s="15"/>
      <c r="M248" s="15"/>
      <c r="N248" s="15"/>
      <c r="O248" s="15"/>
      <c r="P248" s="15"/>
      <c r="Q248" s="15"/>
      <c r="R248" s="15"/>
      <c r="V248" s="15"/>
    </row>
    <row r="249" spans="1:22" x14ac:dyDescent="0.4">
      <c r="A249" s="170" t="s">
        <v>30</v>
      </c>
      <c r="B249" s="3" t="s">
        <v>109</v>
      </c>
      <c r="C249" s="3" t="s">
        <v>1</v>
      </c>
      <c r="D249" s="171"/>
      <c r="E249" s="172" t="s">
        <v>256</v>
      </c>
      <c r="F249" s="173">
        <v>2417.38</v>
      </c>
      <c r="G249" s="173">
        <v>0</v>
      </c>
      <c r="H249" s="173">
        <f t="shared" ref="H249:H251" si="30">$F$248</f>
        <v>1041.96</v>
      </c>
      <c r="I249" s="173">
        <f>$F$249</f>
        <v>2417.38</v>
      </c>
      <c r="J249" s="173"/>
      <c r="K249" s="173"/>
      <c r="L249" s="15"/>
      <c r="M249" s="15"/>
      <c r="N249" s="15"/>
      <c r="O249" s="15"/>
      <c r="P249" s="15"/>
      <c r="Q249" s="15"/>
      <c r="R249" s="15"/>
      <c r="V249" s="15"/>
    </row>
    <row r="250" spans="1:22" x14ac:dyDescent="0.4">
      <c r="A250" s="170" t="s">
        <v>30</v>
      </c>
      <c r="B250" s="3" t="s">
        <v>110</v>
      </c>
      <c r="C250" s="3" t="s">
        <v>1</v>
      </c>
      <c r="D250" s="171" t="s">
        <v>435</v>
      </c>
      <c r="E250" s="172" t="s">
        <v>257</v>
      </c>
      <c r="F250" s="173">
        <v>14504.31</v>
      </c>
      <c r="G250" s="173">
        <v>0</v>
      </c>
      <c r="H250" s="173">
        <f t="shared" si="30"/>
        <v>1041.96</v>
      </c>
      <c r="I250" s="173">
        <f t="shared" ref="I250:I251" si="31">$F$249</f>
        <v>2417.38</v>
      </c>
      <c r="J250" s="173">
        <f>$F$250</f>
        <v>14504.31</v>
      </c>
      <c r="K250" s="173"/>
      <c r="L250" s="15"/>
      <c r="M250" s="15"/>
      <c r="N250" s="15"/>
      <c r="O250" s="15"/>
      <c r="P250" s="15"/>
      <c r="Q250" s="15"/>
      <c r="R250" s="15"/>
      <c r="V250" s="15"/>
    </row>
    <row r="251" spans="1:22" x14ac:dyDescent="0.4">
      <c r="A251" s="170" t="s">
        <v>30</v>
      </c>
      <c r="B251" s="3" t="s">
        <v>110</v>
      </c>
      <c r="C251" s="3" t="s">
        <v>1</v>
      </c>
      <c r="D251" s="171" t="s">
        <v>29</v>
      </c>
      <c r="E251" s="172" t="s">
        <v>258</v>
      </c>
      <c r="F251" s="173">
        <v>29008.62</v>
      </c>
      <c r="G251" s="173">
        <v>0</v>
      </c>
      <c r="H251" s="173">
        <f t="shared" si="30"/>
        <v>1041.96</v>
      </c>
      <c r="I251" s="173">
        <f t="shared" si="31"/>
        <v>2417.38</v>
      </c>
      <c r="J251" s="173">
        <f>$F$251</f>
        <v>29008.62</v>
      </c>
      <c r="K251" s="173"/>
      <c r="L251" s="15"/>
      <c r="M251" s="15"/>
      <c r="N251" s="15"/>
      <c r="O251" s="15"/>
      <c r="P251" s="15"/>
      <c r="Q251" s="15"/>
      <c r="R251" s="15"/>
      <c r="V251" s="15"/>
    </row>
    <row r="252" spans="1:22" x14ac:dyDescent="0.4">
      <c r="A252" s="170" t="s">
        <v>30</v>
      </c>
      <c r="B252" s="3" t="s">
        <v>108</v>
      </c>
      <c r="C252" s="3" t="s">
        <v>2</v>
      </c>
      <c r="D252" s="171"/>
      <c r="E252" s="172" t="s">
        <v>259</v>
      </c>
      <c r="F252" s="173">
        <v>868.32</v>
      </c>
      <c r="G252" s="173">
        <v>0</v>
      </c>
      <c r="H252" s="173">
        <f t="shared" ref="H252:H255" si="32">$F$252</f>
        <v>868.32</v>
      </c>
      <c r="I252" s="173"/>
      <c r="J252" s="173"/>
      <c r="K252" s="173"/>
      <c r="L252" s="15"/>
      <c r="M252" s="15"/>
      <c r="N252" s="15"/>
      <c r="O252" s="15"/>
      <c r="P252" s="15"/>
      <c r="Q252" s="15"/>
      <c r="R252" s="15"/>
      <c r="V252" s="15"/>
    </row>
    <row r="253" spans="1:22" x14ac:dyDescent="0.4">
      <c r="A253" s="170" t="s">
        <v>30</v>
      </c>
      <c r="B253" s="3" t="s">
        <v>109</v>
      </c>
      <c r="C253" s="3" t="s">
        <v>2</v>
      </c>
      <c r="D253" s="171"/>
      <c r="E253" s="172" t="s">
        <v>260</v>
      </c>
      <c r="F253" s="173">
        <v>2014.39</v>
      </c>
      <c r="G253" s="173">
        <v>0</v>
      </c>
      <c r="H253" s="173">
        <f t="shared" si="32"/>
        <v>868.32</v>
      </c>
      <c r="I253" s="173">
        <f>$F$253</f>
        <v>2014.39</v>
      </c>
      <c r="J253" s="173"/>
      <c r="K253" s="173"/>
      <c r="L253" s="15"/>
      <c r="M253" s="15"/>
      <c r="N253" s="15"/>
      <c r="O253" s="15"/>
      <c r="P253" s="15"/>
      <c r="Q253" s="15"/>
      <c r="R253" s="15"/>
      <c r="V253" s="15"/>
    </row>
    <row r="254" spans="1:22" x14ac:dyDescent="0.4">
      <c r="A254" s="170" t="s">
        <v>30</v>
      </c>
      <c r="B254" s="3" t="s">
        <v>110</v>
      </c>
      <c r="C254" s="3" t="s">
        <v>2</v>
      </c>
      <c r="D254" s="171" t="s">
        <v>435</v>
      </c>
      <c r="E254" s="172" t="s">
        <v>261</v>
      </c>
      <c r="F254" s="173">
        <v>12086.95</v>
      </c>
      <c r="G254" s="173">
        <v>0</v>
      </c>
      <c r="H254" s="173">
        <f t="shared" si="32"/>
        <v>868.32</v>
      </c>
      <c r="I254" s="173">
        <f t="shared" ref="I254:I255" si="33">$F$253</f>
        <v>2014.39</v>
      </c>
      <c r="J254" s="173">
        <f>$F$254</f>
        <v>12086.95</v>
      </c>
      <c r="K254" s="173"/>
      <c r="L254" s="15"/>
      <c r="M254" s="15"/>
      <c r="N254" s="15"/>
      <c r="O254" s="15"/>
      <c r="P254" s="15"/>
      <c r="Q254" s="15"/>
      <c r="R254" s="15"/>
      <c r="V254" s="15"/>
    </row>
    <row r="255" spans="1:22" x14ac:dyDescent="0.4">
      <c r="A255" s="170" t="s">
        <v>30</v>
      </c>
      <c r="B255" s="3" t="s">
        <v>110</v>
      </c>
      <c r="C255" s="3" t="s">
        <v>2</v>
      </c>
      <c r="D255" s="171" t="s">
        <v>29</v>
      </c>
      <c r="E255" s="172" t="s">
        <v>262</v>
      </c>
      <c r="F255" s="173">
        <v>24173.87</v>
      </c>
      <c r="G255" s="173">
        <v>0</v>
      </c>
      <c r="H255" s="173">
        <f t="shared" si="32"/>
        <v>868.32</v>
      </c>
      <c r="I255" s="173">
        <f t="shared" si="33"/>
        <v>2014.39</v>
      </c>
      <c r="J255" s="173">
        <f>$F$255</f>
        <v>24173.87</v>
      </c>
      <c r="K255" s="173"/>
      <c r="L255" s="15"/>
      <c r="M255" s="15"/>
      <c r="N255" s="15"/>
      <c r="O255" s="15"/>
      <c r="P255" s="15"/>
      <c r="Q255" s="15"/>
      <c r="R255" s="15"/>
      <c r="V255" s="15"/>
    </row>
    <row r="256" spans="1:22" x14ac:dyDescent="0.4">
      <c r="A256" s="170" t="s">
        <v>30</v>
      </c>
      <c r="B256" s="3" t="s">
        <v>108</v>
      </c>
      <c r="C256" s="3" t="s">
        <v>0</v>
      </c>
      <c r="D256" s="171"/>
      <c r="E256" s="172" t="s">
        <v>259</v>
      </c>
      <c r="F256" s="173">
        <v>868.32</v>
      </c>
      <c r="G256" s="173">
        <v>0</v>
      </c>
      <c r="H256" s="173">
        <f>$F$256</f>
        <v>868.32</v>
      </c>
      <c r="I256" s="173"/>
      <c r="J256" s="173"/>
      <c r="K256" s="173"/>
      <c r="L256" s="15"/>
      <c r="M256" s="15"/>
      <c r="N256" s="15"/>
      <c r="O256" s="15"/>
      <c r="P256" s="15"/>
      <c r="Q256" s="15"/>
      <c r="R256" s="15"/>
      <c r="V256" s="15"/>
    </row>
    <row r="257" spans="1:22" x14ac:dyDescent="0.4">
      <c r="A257" s="170" t="s">
        <v>30</v>
      </c>
      <c r="B257" s="3" t="s">
        <v>109</v>
      </c>
      <c r="C257" s="3" t="s">
        <v>0</v>
      </c>
      <c r="D257" s="171"/>
      <c r="E257" s="172" t="s">
        <v>260</v>
      </c>
      <c r="F257" s="173">
        <v>2014.39</v>
      </c>
      <c r="G257" s="173">
        <v>0</v>
      </c>
      <c r="H257" s="173">
        <f t="shared" ref="H257:H259" si="34">$F$256</f>
        <v>868.32</v>
      </c>
      <c r="I257" s="173">
        <f>$F$257</f>
        <v>2014.39</v>
      </c>
      <c r="J257" s="173"/>
      <c r="K257" s="173"/>
      <c r="L257" s="15"/>
      <c r="M257" s="15"/>
      <c r="N257" s="15"/>
      <c r="O257" s="15"/>
      <c r="P257" s="15"/>
      <c r="Q257" s="15"/>
      <c r="R257" s="15"/>
      <c r="V257" s="15"/>
    </row>
    <row r="258" spans="1:22" x14ac:dyDescent="0.4">
      <c r="A258" s="170" t="s">
        <v>30</v>
      </c>
      <c r="B258" s="3" t="s">
        <v>110</v>
      </c>
      <c r="C258" s="3" t="s">
        <v>0</v>
      </c>
      <c r="D258" s="171" t="s">
        <v>435</v>
      </c>
      <c r="E258" s="172" t="s">
        <v>261</v>
      </c>
      <c r="F258" s="173">
        <v>12086.95</v>
      </c>
      <c r="G258" s="173">
        <v>0</v>
      </c>
      <c r="H258" s="173">
        <f t="shared" si="34"/>
        <v>868.32</v>
      </c>
      <c r="I258" s="173">
        <f t="shared" ref="I258:I259" si="35">$F$257</f>
        <v>2014.39</v>
      </c>
      <c r="J258" s="173">
        <f>$F$258</f>
        <v>12086.95</v>
      </c>
      <c r="K258" s="173"/>
      <c r="L258" s="15"/>
      <c r="M258" s="15"/>
      <c r="N258" s="15"/>
      <c r="O258" s="15"/>
      <c r="P258" s="15"/>
      <c r="Q258" s="15"/>
      <c r="R258" s="15"/>
      <c r="V258" s="15"/>
    </row>
    <row r="259" spans="1:22" x14ac:dyDescent="0.4">
      <c r="A259" s="170" t="s">
        <v>30</v>
      </c>
      <c r="B259" s="3" t="s">
        <v>110</v>
      </c>
      <c r="C259" s="3" t="s">
        <v>0</v>
      </c>
      <c r="D259" s="171" t="s">
        <v>29</v>
      </c>
      <c r="E259" s="172" t="s">
        <v>262</v>
      </c>
      <c r="F259" s="173">
        <v>24173.87</v>
      </c>
      <c r="G259" s="173">
        <v>0</v>
      </c>
      <c r="H259" s="173">
        <f t="shared" si="34"/>
        <v>868.32</v>
      </c>
      <c r="I259" s="173">
        <f t="shared" si="35"/>
        <v>2014.39</v>
      </c>
      <c r="J259" s="173">
        <f>$F$259</f>
        <v>24173.87</v>
      </c>
      <c r="K259" s="173"/>
      <c r="L259" s="15"/>
      <c r="M259" s="15"/>
      <c r="N259" s="15"/>
      <c r="O259" s="15"/>
      <c r="P259" s="15"/>
      <c r="Q259" s="15"/>
      <c r="R259" s="15"/>
      <c r="V259" s="15"/>
    </row>
    <row r="260" spans="1:22" x14ac:dyDescent="0.4">
      <c r="A260" s="170" t="s">
        <v>80</v>
      </c>
      <c r="B260" s="3" t="s">
        <v>108</v>
      </c>
      <c r="C260" s="3" t="s">
        <v>1</v>
      </c>
      <c r="D260" s="171"/>
      <c r="E260" s="172" t="s">
        <v>141</v>
      </c>
      <c r="F260" s="173">
        <v>200</v>
      </c>
      <c r="G260" s="173">
        <v>0</v>
      </c>
      <c r="H260" s="173">
        <v>30</v>
      </c>
      <c r="I260" s="173"/>
      <c r="J260" s="173"/>
      <c r="K260" s="173"/>
      <c r="L260" s="15"/>
      <c r="M260" s="15"/>
      <c r="N260" s="15"/>
      <c r="O260" s="15"/>
      <c r="P260" s="15"/>
      <c r="Q260" s="15"/>
      <c r="R260" s="15"/>
      <c r="V260" s="15"/>
    </row>
    <row r="261" spans="1:22" x14ac:dyDescent="0.4">
      <c r="A261" s="170" t="s">
        <v>80</v>
      </c>
      <c r="B261" s="3" t="s">
        <v>109</v>
      </c>
      <c r="C261" s="3" t="s">
        <v>1</v>
      </c>
      <c r="D261" s="171"/>
      <c r="E261" s="172" t="s">
        <v>142</v>
      </c>
      <c r="F261" s="173">
        <v>800</v>
      </c>
      <c r="G261" s="173">
        <v>0</v>
      </c>
      <c r="H261" s="173">
        <v>30</v>
      </c>
      <c r="I261" s="173">
        <v>40</v>
      </c>
      <c r="J261" s="173"/>
      <c r="K261" s="173"/>
      <c r="L261" s="15"/>
      <c r="M261" s="15"/>
      <c r="N261" s="15"/>
      <c r="O261" s="15"/>
      <c r="P261" s="15"/>
      <c r="Q261" s="15"/>
      <c r="R261" s="15"/>
      <c r="V261" s="15"/>
    </row>
    <row r="262" spans="1:22" x14ac:dyDescent="0.4">
      <c r="A262" s="170" t="s">
        <v>80</v>
      </c>
      <c r="B262" s="3" t="s">
        <v>110</v>
      </c>
      <c r="C262" s="3" t="s">
        <v>1</v>
      </c>
      <c r="D262" s="171"/>
      <c r="E262" s="172" t="s">
        <v>143</v>
      </c>
      <c r="F262" s="173">
        <v>2000</v>
      </c>
      <c r="G262" s="173">
        <v>0</v>
      </c>
      <c r="H262" s="173">
        <v>30</v>
      </c>
      <c r="I262" s="173">
        <v>40</v>
      </c>
      <c r="J262" s="173">
        <v>50</v>
      </c>
      <c r="K262" s="173"/>
      <c r="L262" s="15"/>
      <c r="M262" s="15"/>
      <c r="N262" s="15"/>
      <c r="O262" s="15"/>
      <c r="P262" s="15"/>
      <c r="Q262" s="15"/>
      <c r="R262" s="15"/>
      <c r="V262" s="15"/>
    </row>
    <row r="263" spans="1:22" x14ac:dyDescent="0.4">
      <c r="A263" s="170" t="s">
        <v>80</v>
      </c>
      <c r="B263" s="3" t="s">
        <v>110</v>
      </c>
      <c r="C263" s="3" t="s">
        <v>1</v>
      </c>
      <c r="D263" s="179" t="s">
        <v>145</v>
      </c>
      <c r="E263" s="172" t="s">
        <v>144</v>
      </c>
      <c r="F263" s="173">
        <v>3000</v>
      </c>
      <c r="G263" s="173">
        <v>0</v>
      </c>
      <c r="H263" s="173">
        <v>30</v>
      </c>
      <c r="I263" s="173">
        <v>40</v>
      </c>
      <c r="J263" s="173">
        <v>50</v>
      </c>
      <c r="K263" s="173"/>
      <c r="L263" s="15"/>
      <c r="M263" s="15"/>
      <c r="N263" s="15"/>
      <c r="O263" s="15"/>
      <c r="P263" s="15"/>
      <c r="Q263" s="15"/>
      <c r="R263" s="15"/>
      <c r="V263" s="15"/>
    </row>
    <row r="264" spans="1:22" x14ac:dyDescent="0.4">
      <c r="A264" s="170" t="s">
        <v>80</v>
      </c>
      <c r="B264" s="3" t="s">
        <v>108</v>
      </c>
      <c r="C264" s="3" t="s">
        <v>2</v>
      </c>
      <c r="D264" s="171"/>
      <c r="E264" s="172" t="s">
        <v>141</v>
      </c>
      <c r="F264" s="173">
        <v>73</v>
      </c>
      <c r="G264" s="173">
        <v>0</v>
      </c>
      <c r="H264" s="173">
        <v>30</v>
      </c>
      <c r="I264" s="173"/>
      <c r="J264" s="173"/>
      <c r="K264" s="173"/>
      <c r="L264" s="15"/>
      <c r="M264" s="15"/>
      <c r="N264" s="15"/>
      <c r="O264" s="15"/>
      <c r="P264" s="15"/>
      <c r="Q264" s="15"/>
      <c r="R264" s="15"/>
      <c r="V264" s="15"/>
    </row>
    <row r="265" spans="1:22" x14ac:dyDescent="0.4">
      <c r="A265" s="170" t="s">
        <v>80</v>
      </c>
      <c r="B265" s="3" t="s">
        <v>109</v>
      </c>
      <c r="C265" s="3" t="s">
        <v>2</v>
      </c>
      <c r="D265" s="171"/>
      <c r="E265" s="172" t="s">
        <v>142</v>
      </c>
      <c r="F265" s="173">
        <v>215</v>
      </c>
      <c r="G265" s="173">
        <v>0</v>
      </c>
      <c r="H265" s="173">
        <v>30</v>
      </c>
      <c r="I265" s="173">
        <v>30</v>
      </c>
      <c r="J265" s="173"/>
      <c r="K265" s="173"/>
      <c r="L265" s="15"/>
      <c r="M265" s="15"/>
      <c r="N265" s="15"/>
      <c r="O265" s="15"/>
      <c r="P265" s="15"/>
      <c r="Q265" s="15"/>
      <c r="R265" s="15"/>
      <c r="V265" s="15"/>
    </row>
    <row r="266" spans="1:22" x14ac:dyDescent="0.4">
      <c r="A266" s="170" t="s">
        <v>80</v>
      </c>
      <c r="B266" s="3" t="s">
        <v>110</v>
      </c>
      <c r="C266" s="3" t="s">
        <v>2</v>
      </c>
      <c r="D266" s="171"/>
      <c r="E266" s="172" t="s">
        <v>143</v>
      </c>
      <c r="F266" s="173">
        <v>515</v>
      </c>
      <c r="G266" s="173">
        <v>0</v>
      </c>
      <c r="H266" s="173">
        <v>30</v>
      </c>
      <c r="I266" s="173">
        <v>30</v>
      </c>
      <c r="J266" s="173">
        <v>30</v>
      </c>
      <c r="K266" s="173"/>
      <c r="L266" s="15"/>
      <c r="M266" s="15"/>
      <c r="N266" s="15"/>
      <c r="O266" s="15"/>
      <c r="P266" s="15"/>
      <c r="Q266" s="15"/>
      <c r="R266" s="15"/>
      <c r="V266" s="15"/>
    </row>
    <row r="267" spans="1:22" x14ac:dyDescent="0.4">
      <c r="A267" s="170" t="s">
        <v>80</v>
      </c>
      <c r="B267" s="3" t="s">
        <v>110</v>
      </c>
      <c r="C267" s="3" t="s">
        <v>2</v>
      </c>
      <c r="D267" s="179" t="s">
        <v>145</v>
      </c>
      <c r="E267" s="172" t="s">
        <v>144</v>
      </c>
      <c r="F267" s="173">
        <v>700</v>
      </c>
      <c r="G267" s="173">
        <v>0</v>
      </c>
      <c r="H267" s="173">
        <v>30</v>
      </c>
      <c r="I267" s="173">
        <v>30</v>
      </c>
      <c r="J267" s="173">
        <v>30</v>
      </c>
      <c r="K267" s="173"/>
      <c r="L267" s="15"/>
      <c r="M267" s="15"/>
      <c r="N267" s="15"/>
      <c r="O267" s="15"/>
      <c r="P267" s="15"/>
      <c r="Q267" s="15"/>
      <c r="R267" s="15"/>
      <c r="V267" s="15"/>
    </row>
    <row r="268" spans="1:22" x14ac:dyDescent="0.4">
      <c r="A268" s="170" t="s">
        <v>80</v>
      </c>
      <c r="B268" s="3" t="s">
        <v>108</v>
      </c>
      <c r="C268" s="3" t="s">
        <v>0</v>
      </c>
      <c r="D268" s="171"/>
      <c r="E268" s="172" t="s">
        <v>141</v>
      </c>
      <c r="F268" s="173">
        <v>121</v>
      </c>
      <c r="G268" s="173">
        <v>0</v>
      </c>
      <c r="H268" s="173">
        <v>12</v>
      </c>
      <c r="I268" s="173"/>
      <c r="J268" s="173"/>
      <c r="K268" s="173"/>
      <c r="L268" s="15"/>
      <c r="M268" s="15"/>
      <c r="N268" s="15"/>
      <c r="O268" s="15"/>
      <c r="P268" s="15"/>
      <c r="Q268" s="15"/>
      <c r="R268" s="15"/>
      <c r="V268" s="15"/>
    </row>
    <row r="269" spans="1:22" x14ac:dyDescent="0.4">
      <c r="A269" s="170" t="s">
        <v>80</v>
      </c>
      <c r="B269" s="3" t="s">
        <v>109</v>
      </c>
      <c r="C269" s="3" t="s">
        <v>0</v>
      </c>
      <c r="D269" s="171"/>
      <c r="E269" s="172" t="s">
        <v>142</v>
      </c>
      <c r="F269" s="173">
        <v>217</v>
      </c>
      <c r="G269" s="173">
        <v>0</v>
      </c>
      <c r="H269" s="173">
        <v>12</v>
      </c>
      <c r="I269" s="173">
        <v>12</v>
      </c>
      <c r="J269" s="173"/>
      <c r="K269" s="173"/>
      <c r="L269" s="15"/>
      <c r="M269" s="15"/>
      <c r="N269" s="15"/>
      <c r="O269" s="15"/>
      <c r="P269" s="15"/>
      <c r="Q269" s="15"/>
      <c r="R269" s="15"/>
      <c r="V269" s="15"/>
    </row>
    <row r="270" spans="1:22" x14ac:dyDescent="0.4">
      <c r="A270" s="170" t="s">
        <v>80</v>
      </c>
      <c r="B270" s="3" t="s">
        <v>110</v>
      </c>
      <c r="C270" s="3" t="s">
        <v>0</v>
      </c>
      <c r="D270" s="171"/>
      <c r="E270" s="172" t="s">
        <v>143</v>
      </c>
      <c r="F270" s="173">
        <v>613</v>
      </c>
      <c r="G270" s="173">
        <v>0</v>
      </c>
      <c r="H270" s="173">
        <v>12</v>
      </c>
      <c r="I270" s="173">
        <v>12</v>
      </c>
      <c r="J270" s="173">
        <v>12</v>
      </c>
      <c r="K270" s="173"/>
      <c r="L270" s="15"/>
      <c r="M270" s="15"/>
      <c r="N270" s="15"/>
      <c r="O270" s="15"/>
      <c r="P270" s="15"/>
      <c r="Q270" s="15"/>
      <c r="R270" s="15"/>
      <c r="V270" s="15"/>
    </row>
    <row r="271" spans="1:22" x14ac:dyDescent="0.4">
      <c r="A271" s="170" t="s">
        <v>80</v>
      </c>
      <c r="B271" s="3" t="s">
        <v>110</v>
      </c>
      <c r="C271" s="3" t="s">
        <v>0</v>
      </c>
      <c r="D271" s="179" t="s">
        <v>145</v>
      </c>
      <c r="E271" s="172" t="s">
        <v>144</v>
      </c>
      <c r="F271" s="173">
        <v>845</v>
      </c>
      <c r="G271" s="173">
        <v>0</v>
      </c>
      <c r="H271" s="173">
        <v>12</v>
      </c>
      <c r="I271" s="173">
        <v>12</v>
      </c>
      <c r="J271" s="173">
        <v>12</v>
      </c>
      <c r="K271" s="173"/>
      <c r="L271" s="15"/>
      <c r="M271" s="15"/>
      <c r="N271" s="15"/>
      <c r="O271" s="15"/>
      <c r="P271" s="15"/>
      <c r="Q271" s="15"/>
      <c r="R271" s="15"/>
      <c r="V271" s="15"/>
    </row>
    <row r="272" spans="1:22" x14ac:dyDescent="0.4">
      <c r="A272" s="170" t="s">
        <v>32</v>
      </c>
      <c r="B272" s="3" t="s">
        <v>108</v>
      </c>
      <c r="C272" s="3" t="s">
        <v>1</v>
      </c>
      <c r="D272" s="171"/>
      <c r="E272" s="172"/>
      <c r="F272" s="173">
        <v>50</v>
      </c>
      <c r="G272" s="173">
        <v>50</v>
      </c>
      <c r="H272" s="173">
        <v>50</v>
      </c>
      <c r="I272" s="173"/>
      <c r="J272" s="173"/>
      <c r="K272" s="173"/>
      <c r="L272" s="15"/>
      <c r="M272" s="15"/>
      <c r="N272" s="15"/>
      <c r="O272" s="15"/>
      <c r="P272" s="15"/>
      <c r="Q272" s="15"/>
      <c r="R272" s="15"/>
      <c r="V272" s="15"/>
    </row>
    <row r="273" spans="1:22" x14ac:dyDescent="0.4">
      <c r="A273" s="170" t="s">
        <v>32</v>
      </c>
      <c r="B273" s="3" t="s">
        <v>109</v>
      </c>
      <c r="C273" s="3" t="s">
        <v>1</v>
      </c>
      <c r="D273" s="171"/>
      <c r="E273" s="172"/>
      <c r="F273" s="173">
        <v>50</v>
      </c>
      <c r="G273" s="173">
        <v>50</v>
      </c>
      <c r="H273" s="173">
        <v>50</v>
      </c>
      <c r="I273" s="173">
        <v>50</v>
      </c>
      <c r="J273" s="173"/>
      <c r="K273" s="173"/>
      <c r="L273" s="15"/>
      <c r="M273" s="15"/>
      <c r="N273" s="15"/>
      <c r="O273" s="15"/>
      <c r="P273" s="15"/>
      <c r="Q273" s="15"/>
      <c r="R273" s="15"/>
      <c r="V273" s="15"/>
    </row>
    <row r="274" spans="1:22" x14ac:dyDescent="0.4">
      <c r="A274" s="170" t="s">
        <v>32</v>
      </c>
      <c r="B274" s="3" t="s">
        <v>110</v>
      </c>
      <c r="C274" s="3" t="s">
        <v>1</v>
      </c>
      <c r="D274" s="171"/>
      <c r="E274" s="172"/>
      <c r="F274" s="173">
        <v>150</v>
      </c>
      <c r="G274" s="173">
        <v>150</v>
      </c>
      <c r="H274" s="173">
        <v>50</v>
      </c>
      <c r="I274" s="173">
        <v>50</v>
      </c>
      <c r="J274" s="173">
        <v>150</v>
      </c>
      <c r="K274" s="173"/>
      <c r="L274" s="15"/>
      <c r="M274" s="15"/>
      <c r="N274" s="15"/>
      <c r="O274" s="15"/>
      <c r="P274" s="15"/>
      <c r="Q274" s="15"/>
      <c r="R274" s="15"/>
      <c r="V274" s="15"/>
    </row>
    <row r="275" spans="1:22" x14ac:dyDescent="0.4">
      <c r="A275" s="170" t="s">
        <v>32</v>
      </c>
      <c r="B275" s="3" t="s">
        <v>108</v>
      </c>
      <c r="C275" s="3" t="s">
        <v>2</v>
      </c>
      <c r="D275" s="171"/>
      <c r="E275" s="172"/>
      <c r="F275" s="173">
        <v>50</v>
      </c>
      <c r="G275" s="173">
        <v>50</v>
      </c>
      <c r="H275" s="173">
        <v>50</v>
      </c>
      <c r="I275" s="173"/>
      <c r="J275" s="173"/>
      <c r="K275" s="173"/>
      <c r="L275" s="15"/>
      <c r="M275" s="15"/>
      <c r="N275" s="15"/>
      <c r="O275" s="15"/>
      <c r="P275" s="15"/>
      <c r="Q275" s="15"/>
      <c r="R275" s="15"/>
      <c r="V275" s="15"/>
    </row>
    <row r="276" spans="1:22" x14ac:dyDescent="0.4">
      <c r="A276" s="170" t="s">
        <v>32</v>
      </c>
      <c r="B276" s="3" t="s">
        <v>109</v>
      </c>
      <c r="C276" s="3" t="s">
        <v>2</v>
      </c>
      <c r="D276" s="171"/>
      <c r="E276" s="172"/>
      <c r="F276" s="173">
        <v>50</v>
      </c>
      <c r="G276" s="173">
        <v>50</v>
      </c>
      <c r="H276" s="173">
        <v>50</v>
      </c>
      <c r="I276" s="173">
        <v>50</v>
      </c>
      <c r="J276" s="173"/>
      <c r="K276" s="173"/>
      <c r="L276" s="15"/>
      <c r="M276" s="15"/>
      <c r="N276" s="15"/>
      <c r="O276" s="15"/>
      <c r="P276" s="15"/>
      <c r="Q276" s="15"/>
      <c r="R276" s="15"/>
      <c r="V276" s="15"/>
    </row>
    <row r="277" spans="1:22" x14ac:dyDescent="0.4">
      <c r="A277" s="170" t="s">
        <v>32</v>
      </c>
      <c r="B277" s="3" t="s">
        <v>110</v>
      </c>
      <c r="C277" s="3" t="s">
        <v>2</v>
      </c>
      <c r="D277" s="171"/>
      <c r="E277" s="172"/>
      <c r="F277" s="173">
        <v>150</v>
      </c>
      <c r="G277" s="173">
        <v>150</v>
      </c>
      <c r="H277" s="173">
        <v>50</v>
      </c>
      <c r="I277" s="173">
        <v>50</v>
      </c>
      <c r="J277" s="173">
        <v>150</v>
      </c>
      <c r="K277" s="173"/>
      <c r="L277" s="15"/>
      <c r="M277" s="15"/>
      <c r="N277" s="15"/>
      <c r="O277" s="15"/>
      <c r="P277" s="15"/>
      <c r="Q277" s="15"/>
      <c r="R277" s="15"/>
      <c r="V277" s="15"/>
    </row>
    <row r="278" spans="1:22" x14ac:dyDescent="0.4">
      <c r="A278" s="170" t="s">
        <v>32</v>
      </c>
      <c r="B278" s="3" t="s">
        <v>108</v>
      </c>
      <c r="C278" s="3" t="s">
        <v>0</v>
      </c>
      <c r="D278" s="171"/>
      <c r="E278" s="172"/>
      <c r="F278" s="173">
        <v>50</v>
      </c>
      <c r="G278" s="173">
        <v>50</v>
      </c>
      <c r="H278" s="173">
        <v>50</v>
      </c>
      <c r="I278" s="173"/>
      <c r="J278" s="173"/>
      <c r="K278" s="173"/>
      <c r="L278" s="15"/>
      <c r="M278" s="15"/>
      <c r="N278" s="15"/>
      <c r="O278" s="15"/>
      <c r="P278" s="15"/>
      <c r="Q278" s="15"/>
      <c r="R278" s="15"/>
      <c r="V278" s="15"/>
    </row>
    <row r="279" spans="1:22" x14ac:dyDescent="0.4">
      <c r="A279" s="170" t="s">
        <v>32</v>
      </c>
      <c r="B279" s="3" t="s">
        <v>109</v>
      </c>
      <c r="C279" s="3" t="s">
        <v>0</v>
      </c>
      <c r="D279" s="171"/>
      <c r="E279" s="172"/>
      <c r="F279" s="173">
        <v>50</v>
      </c>
      <c r="G279" s="173">
        <v>50</v>
      </c>
      <c r="H279" s="173">
        <v>50</v>
      </c>
      <c r="I279" s="173">
        <v>50</v>
      </c>
      <c r="J279" s="173"/>
      <c r="K279" s="173"/>
      <c r="L279" s="15"/>
      <c r="M279" s="15"/>
      <c r="N279" s="15"/>
      <c r="O279" s="15"/>
      <c r="P279" s="15"/>
      <c r="Q279" s="15"/>
      <c r="R279" s="15"/>
      <c r="V279" s="15"/>
    </row>
    <row r="280" spans="1:22" x14ac:dyDescent="0.4">
      <c r="A280" s="170" t="s">
        <v>32</v>
      </c>
      <c r="B280" s="3" t="s">
        <v>110</v>
      </c>
      <c r="C280" s="3" t="s">
        <v>0</v>
      </c>
      <c r="D280" s="171"/>
      <c r="E280" s="172"/>
      <c r="F280" s="173">
        <v>150</v>
      </c>
      <c r="G280" s="173">
        <v>150</v>
      </c>
      <c r="H280" s="173">
        <v>50</v>
      </c>
      <c r="I280" s="173">
        <v>50</v>
      </c>
      <c r="J280" s="173">
        <v>150</v>
      </c>
      <c r="K280" s="173"/>
      <c r="L280" s="15"/>
      <c r="M280" s="15"/>
      <c r="N280" s="15"/>
      <c r="O280" s="15"/>
      <c r="P280" s="15"/>
      <c r="Q280" s="15"/>
      <c r="R280" s="15"/>
      <c r="V280" s="15"/>
    </row>
    <row r="281" spans="1:22" x14ac:dyDescent="0.4">
      <c r="A281" s="170" t="s">
        <v>31</v>
      </c>
      <c r="B281" s="3" t="s">
        <v>108</v>
      </c>
      <c r="C281" s="3" t="s">
        <v>1</v>
      </c>
      <c r="D281" s="171"/>
      <c r="E281" s="172" t="s">
        <v>728</v>
      </c>
      <c r="F281" s="173">
        <v>513.80999999999995</v>
      </c>
      <c r="G281" s="173">
        <v>0</v>
      </c>
      <c r="H281" s="173">
        <v>0</v>
      </c>
      <c r="I281" s="173"/>
      <c r="J281" s="173"/>
      <c r="K281" s="173"/>
      <c r="L281" s="15"/>
      <c r="M281" s="15"/>
      <c r="N281" s="15"/>
      <c r="O281" s="15"/>
      <c r="P281" s="15"/>
      <c r="Q281" s="15"/>
      <c r="R281" s="15"/>
      <c r="V281" s="15"/>
    </row>
    <row r="282" spans="1:22" x14ac:dyDescent="0.4">
      <c r="A282" s="170" t="s">
        <v>31</v>
      </c>
      <c r="B282" s="3" t="s">
        <v>109</v>
      </c>
      <c r="C282" s="3" t="s">
        <v>1</v>
      </c>
      <c r="D282" s="171"/>
      <c r="E282" s="172" t="s">
        <v>432</v>
      </c>
      <c r="F282" s="173">
        <v>500</v>
      </c>
      <c r="G282" s="173">
        <v>0</v>
      </c>
      <c r="H282" s="173">
        <v>0</v>
      </c>
      <c r="I282" s="173">
        <v>500</v>
      </c>
      <c r="J282" s="173"/>
      <c r="K282" s="173"/>
      <c r="L282" s="15"/>
      <c r="M282" s="15"/>
      <c r="N282" s="15"/>
      <c r="O282" s="15"/>
      <c r="P282" s="15"/>
      <c r="Q282" s="15"/>
      <c r="R282" s="15"/>
      <c r="V282" s="15"/>
    </row>
    <row r="283" spans="1:22" x14ac:dyDescent="0.4">
      <c r="A283" s="170" t="s">
        <v>31</v>
      </c>
      <c r="B283" s="3" t="s">
        <v>110</v>
      </c>
      <c r="C283" s="3" t="s">
        <v>1</v>
      </c>
      <c r="D283" s="171"/>
      <c r="E283" s="172" t="s">
        <v>433</v>
      </c>
      <c r="F283" s="173">
        <v>1000</v>
      </c>
      <c r="G283" s="173">
        <v>0</v>
      </c>
      <c r="H283" s="173">
        <v>0</v>
      </c>
      <c r="I283" s="173">
        <v>500</v>
      </c>
      <c r="J283" s="173">
        <v>1000</v>
      </c>
      <c r="K283" s="173"/>
      <c r="L283" s="15"/>
      <c r="M283" s="15"/>
      <c r="N283" s="15"/>
      <c r="O283" s="15"/>
      <c r="P283" s="15"/>
      <c r="Q283" s="15"/>
      <c r="R283" s="15"/>
      <c r="V283" s="15"/>
    </row>
    <row r="284" spans="1:22" x14ac:dyDescent="0.4">
      <c r="A284" s="170" t="s">
        <v>31</v>
      </c>
      <c r="B284" s="3" t="s">
        <v>108</v>
      </c>
      <c r="C284" s="3" t="s">
        <v>2</v>
      </c>
      <c r="D284" s="171"/>
      <c r="E284" s="172"/>
      <c r="F284" s="173">
        <v>0</v>
      </c>
      <c r="G284" s="173">
        <v>0</v>
      </c>
      <c r="H284" s="173">
        <v>0</v>
      </c>
      <c r="I284" s="173"/>
      <c r="J284" s="173"/>
      <c r="K284" s="173"/>
      <c r="L284" s="15"/>
      <c r="M284" s="15"/>
      <c r="N284" s="15"/>
      <c r="O284" s="15"/>
      <c r="P284" s="15"/>
      <c r="Q284" s="15"/>
      <c r="R284" s="15"/>
      <c r="V284" s="15"/>
    </row>
    <row r="285" spans="1:22" x14ac:dyDescent="0.4">
      <c r="A285" s="170" t="s">
        <v>31</v>
      </c>
      <c r="B285" s="3" t="s">
        <v>109</v>
      </c>
      <c r="C285" s="3" t="s">
        <v>2</v>
      </c>
      <c r="D285" s="171"/>
      <c r="E285" s="172"/>
      <c r="F285" s="173">
        <v>0</v>
      </c>
      <c r="G285" s="173">
        <v>0</v>
      </c>
      <c r="H285" s="173">
        <v>0</v>
      </c>
      <c r="I285" s="173">
        <v>0</v>
      </c>
      <c r="J285" s="173"/>
      <c r="K285" s="173"/>
      <c r="L285" s="15"/>
      <c r="M285" s="15"/>
      <c r="N285" s="15"/>
      <c r="O285" s="15"/>
      <c r="P285" s="15"/>
      <c r="Q285" s="15"/>
      <c r="R285" s="15"/>
      <c r="V285" s="15"/>
    </row>
    <row r="286" spans="1:22" x14ac:dyDescent="0.4">
      <c r="A286" s="170" t="s">
        <v>31</v>
      </c>
      <c r="B286" s="3" t="s">
        <v>110</v>
      </c>
      <c r="C286" s="3" t="s">
        <v>2</v>
      </c>
      <c r="D286" s="171"/>
      <c r="E286" s="172"/>
      <c r="F286" s="173">
        <v>0</v>
      </c>
      <c r="G286" s="173">
        <v>0</v>
      </c>
      <c r="H286" s="173">
        <v>0</v>
      </c>
      <c r="I286" s="173">
        <v>0</v>
      </c>
      <c r="J286" s="173">
        <v>0</v>
      </c>
      <c r="K286" s="173"/>
      <c r="L286" s="15"/>
      <c r="M286" s="15"/>
      <c r="N286" s="15"/>
      <c r="O286" s="15"/>
      <c r="P286" s="15"/>
      <c r="Q286" s="15"/>
      <c r="R286" s="15"/>
      <c r="V286" s="15"/>
    </row>
    <row r="287" spans="1:22" x14ac:dyDescent="0.4">
      <c r="A287" s="170" t="s">
        <v>31</v>
      </c>
      <c r="B287" s="3" t="s">
        <v>108</v>
      </c>
      <c r="C287" s="3" t="s">
        <v>0</v>
      </c>
      <c r="D287" s="171"/>
      <c r="E287" s="172"/>
      <c r="F287" s="173">
        <v>0</v>
      </c>
      <c r="G287" s="173">
        <v>0</v>
      </c>
      <c r="H287" s="173">
        <v>0</v>
      </c>
      <c r="I287" s="173"/>
      <c r="J287" s="173"/>
      <c r="K287" s="173"/>
      <c r="L287" s="15"/>
      <c r="M287" s="15"/>
      <c r="N287" s="15"/>
      <c r="O287" s="15"/>
      <c r="P287" s="15"/>
      <c r="Q287" s="15"/>
      <c r="R287" s="15"/>
      <c r="V287" s="15"/>
    </row>
    <row r="288" spans="1:22" x14ac:dyDescent="0.4">
      <c r="A288" s="170" t="s">
        <v>31</v>
      </c>
      <c r="B288" s="3" t="s">
        <v>109</v>
      </c>
      <c r="C288" s="3" t="s">
        <v>0</v>
      </c>
      <c r="D288" s="171"/>
      <c r="E288" s="172"/>
      <c r="F288" s="173">
        <v>0</v>
      </c>
      <c r="G288" s="173">
        <v>0</v>
      </c>
      <c r="H288" s="173">
        <v>0</v>
      </c>
      <c r="I288" s="173">
        <v>0</v>
      </c>
      <c r="J288" s="173"/>
      <c r="K288" s="173"/>
      <c r="L288" s="15"/>
      <c r="M288" s="15"/>
      <c r="N288" s="15"/>
      <c r="O288" s="15"/>
      <c r="P288" s="15"/>
      <c r="Q288" s="15"/>
      <c r="R288" s="15"/>
      <c r="V288" s="15"/>
    </row>
    <row r="289" spans="1:22" x14ac:dyDescent="0.4">
      <c r="A289" s="170" t="s">
        <v>31</v>
      </c>
      <c r="B289" s="3" t="s">
        <v>110</v>
      </c>
      <c r="C289" s="3" t="s">
        <v>0</v>
      </c>
      <c r="D289" s="171"/>
      <c r="E289" s="172"/>
      <c r="F289" s="173">
        <v>0</v>
      </c>
      <c r="G289" s="173">
        <v>0</v>
      </c>
      <c r="H289" s="173">
        <v>0</v>
      </c>
      <c r="I289" s="173">
        <v>0</v>
      </c>
      <c r="J289" s="173">
        <v>0</v>
      </c>
      <c r="K289" s="173"/>
      <c r="L289" s="15"/>
      <c r="M289" s="15"/>
      <c r="N289" s="15"/>
      <c r="O289" s="15"/>
      <c r="P289" s="15"/>
      <c r="Q289" s="15"/>
      <c r="R289" s="15"/>
      <c r="V289" s="15"/>
    </row>
    <row r="290" spans="1:22" x14ac:dyDescent="0.4">
      <c r="A290" s="170" t="s">
        <v>33</v>
      </c>
      <c r="B290" s="3" t="s">
        <v>108</v>
      </c>
      <c r="C290" s="3" t="s">
        <v>1</v>
      </c>
      <c r="D290" s="171"/>
      <c r="E290" s="172"/>
      <c r="F290" s="173">
        <v>115</v>
      </c>
      <c r="G290" s="173">
        <v>0</v>
      </c>
      <c r="H290" s="173">
        <v>115</v>
      </c>
      <c r="I290" s="173"/>
      <c r="J290" s="173"/>
      <c r="K290" s="173"/>
      <c r="L290" s="15"/>
      <c r="M290" s="15"/>
      <c r="N290" s="15"/>
      <c r="O290" s="15"/>
      <c r="P290" s="15"/>
      <c r="Q290" s="15"/>
      <c r="R290" s="15"/>
      <c r="V290" s="15"/>
    </row>
    <row r="291" spans="1:22" x14ac:dyDescent="0.4">
      <c r="A291" s="170" t="s">
        <v>33</v>
      </c>
      <c r="B291" s="3" t="s">
        <v>109</v>
      </c>
      <c r="C291" s="3" t="s">
        <v>1</v>
      </c>
      <c r="D291" s="171"/>
      <c r="E291" s="172"/>
      <c r="F291" s="173">
        <v>350</v>
      </c>
      <c r="G291" s="173">
        <v>0</v>
      </c>
      <c r="H291" s="173">
        <v>115</v>
      </c>
      <c r="I291" s="173">
        <v>350</v>
      </c>
      <c r="J291" s="173"/>
      <c r="K291" s="173"/>
      <c r="L291" s="15"/>
      <c r="M291" s="15"/>
      <c r="N291" s="15"/>
      <c r="O291" s="15"/>
      <c r="P291" s="15"/>
      <c r="Q291" s="15"/>
      <c r="R291" s="15"/>
      <c r="V291" s="15"/>
    </row>
    <row r="292" spans="1:22" x14ac:dyDescent="0.4">
      <c r="A292" s="170" t="s">
        <v>33</v>
      </c>
      <c r="B292" s="3" t="s">
        <v>110</v>
      </c>
      <c r="C292" s="3" t="s">
        <v>1</v>
      </c>
      <c r="D292" s="171" t="s">
        <v>29</v>
      </c>
      <c r="E292" s="172"/>
      <c r="F292" s="173">
        <v>800</v>
      </c>
      <c r="G292" s="173">
        <v>0</v>
      </c>
      <c r="H292" s="173">
        <v>115</v>
      </c>
      <c r="I292" s="173">
        <v>350</v>
      </c>
      <c r="J292" s="173">
        <v>800</v>
      </c>
      <c r="K292" s="173"/>
      <c r="L292" s="15"/>
      <c r="M292" s="15"/>
      <c r="N292" s="15"/>
      <c r="O292" s="15"/>
      <c r="P292" s="15"/>
      <c r="Q292" s="15"/>
      <c r="R292" s="15"/>
      <c r="V292" s="15"/>
    </row>
    <row r="293" spans="1:22" x14ac:dyDescent="0.4">
      <c r="A293" s="170" t="s">
        <v>33</v>
      </c>
      <c r="B293" s="3" t="s">
        <v>110</v>
      </c>
      <c r="C293" s="3" t="s">
        <v>1</v>
      </c>
      <c r="D293" s="171" t="s">
        <v>5</v>
      </c>
      <c r="E293" s="172"/>
      <c r="F293" s="173">
        <v>4000</v>
      </c>
      <c r="G293" s="173">
        <v>0</v>
      </c>
      <c r="H293" s="173">
        <v>115</v>
      </c>
      <c r="I293" s="173">
        <v>350</v>
      </c>
      <c r="J293" s="173">
        <v>4000</v>
      </c>
      <c r="K293" s="173"/>
      <c r="L293" s="15"/>
      <c r="M293" s="15"/>
      <c r="N293" s="15"/>
      <c r="O293" s="15"/>
      <c r="P293" s="15"/>
      <c r="Q293" s="15"/>
      <c r="R293" s="15"/>
      <c r="V293" s="15"/>
    </row>
    <row r="294" spans="1:22" x14ac:dyDescent="0.4">
      <c r="A294" s="170" t="s">
        <v>33</v>
      </c>
      <c r="B294" s="3" t="s">
        <v>108</v>
      </c>
      <c r="C294" s="3" t="s">
        <v>2</v>
      </c>
      <c r="D294" s="171"/>
      <c r="E294" s="172"/>
      <c r="F294" s="173">
        <v>0</v>
      </c>
      <c r="G294" s="173">
        <v>0</v>
      </c>
      <c r="H294" s="173">
        <v>0</v>
      </c>
      <c r="I294" s="173"/>
      <c r="J294" s="173"/>
      <c r="K294" s="173"/>
      <c r="L294" s="15"/>
      <c r="M294" s="15"/>
      <c r="N294" s="15"/>
      <c r="O294" s="15"/>
      <c r="P294" s="15"/>
      <c r="Q294" s="15"/>
      <c r="R294" s="15"/>
      <c r="V294" s="15"/>
    </row>
    <row r="295" spans="1:22" x14ac:dyDescent="0.4">
      <c r="A295" s="170" t="s">
        <v>33</v>
      </c>
      <c r="B295" s="3" t="s">
        <v>109</v>
      </c>
      <c r="C295" s="3" t="s">
        <v>2</v>
      </c>
      <c r="D295" s="171"/>
      <c r="E295" s="172"/>
      <c r="F295" s="173">
        <v>0</v>
      </c>
      <c r="G295" s="173">
        <v>0</v>
      </c>
      <c r="H295" s="173">
        <v>0</v>
      </c>
      <c r="I295" s="173">
        <v>0</v>
      </c>
      <c r="J295" s="173"/>
      <c r="K295" s="173"/>
      <c r="L295" s="15"/>
      <c r="M295" s="15"/>
      <c r="N295" s="15"/>
      <c r="O295" s="15"/>
      <c r="P295" s="15"/>
      <c r="Q295" s="15"/>
      <c r="R295" s="15"/>
      <c r="V295" s="15"/>
    </row>
    <row r="296" spans="1:22" x14ac:dyDescent="0.4">
      <c r="A296" s="170" t="s">
        <v>33</v>
      </c>
      <c r="B296" s="3" t="s">
        <v>110</v>
      </c>
      <c r="C296" s="3" t="s">
        <v>2</v>
      </c>
      <c r="D296" s="171" t="s">
        <v>29</v>
      </c>
      <c r="E296" s="172"/>
      <c r="F296" s="173">
        <v>0</v>
      </c>
      <c r="G296" s="173">
        <v>0</v>
      </c>
      <c r="H296" s="173">
        <v>0</v>
      </c>
      <c r="I296" s="173">
        <v>0</v>
      </c>
      <c r="J296" s="173">
        <v>0</v>
      </c>
      <c r="K296" s="173"/>
      <c r="L296" s="15"/>
      <c r="M296" s="15"/>
      <c r="N296" s="15"/>
      <c r="O296" s="15"/>
      <c r="P296" s="15"/>
      <c r="Q296" s="15"/>
      <c r="R296" s="15"/>
      <c r="V296" s="15"/>
    </row>
    <row r="297" spans="1:22" x14ac:dyDescent="0.4">
      <c r="A297" s="170" t="s">
        <v>33</v>
      </c>
      <c r="B297" s="3" t="s">
        <v>110</v>
      </c>
      <c r="C297" s="3" t="s">
        <v>2</v>
      </c>
      <c r="D297" s="171" t="s">
        <v>5</v>
      </c>
      <c r="E297" s="172"/>
      <c r="F297" s="173">
        <v>0</v>
      </c>
      <c r="G297" s="173">
        <v>0</v>
      </c>
      <c r="H297" s="173">
        <v>0</v>
      </c>
      <c r="I297" s="173">
        <v>0</v>
      </c>
      <c r="J297" s="173">
        <v>0</v>
      </c>
      <c r="K297" s="173"/>
      <c r="L297" s="15"/>
      <c r="M297" s="15"/>
      <c r="N297" s="15"/>
      <c r="O297" s="15"/>
      <c r="P297" s="15"/>
      <c r="Q297" s="15"/>
      <c r="R297" s="15"/>
      <c r="V297" s="15"/>
    </row>
    <row r="298" spans="1:22" x14ac:dyDescent="0.4">
      <c r="A298" s="170" t="s">
        <v>33</v>
      </c>
      <c r="B298" s="3" t="s">
        <v>108</v>
      </c>
      <c r="C298" s="3" t="s">
        <v>0</v>
      </c>
      <c r="D298" s="171"/>
      <c r="E298" s="172"/>
      <c r="F298" s="173">
        <v>115</v>
      </c>
      <c r="G298" s="173">
        <v>0</v>
      </c>
      <c r="H298" s="173">
        <v>115</v>
      </c>
      <c r="I298" s="173"/>
      <c r="J298" s="173"/>
      <c r="K298" s="173"/>
      <c r="L298" s="15"/>
      <c r="M298" s="15"/>
      <c r="N298" s="15"/>
      <c r="O298" s="15"/>
      <c r="P298" s="15"/>
      <c r="Q298" s="15"/>
      <c r="R298" s="15"/>
      <c r="V298" s="15"/>
    </row>
    <row r="299" spans="1:22" x14ac:dyDescent="0.4">
      <c r="A299" s="170" t="s">
        <v>33</v>
      </c>
      <c r="B299" s="3" t="s">
        <v>109</v>
      </c>
      <c r="C299" s="3" t="s">
        <v>0</v>
      </c>
      <c r="D299" s="171"/>
      <c r="E299" s="172"/>
      <c r="F299" s="173">
        <v>350</v>
      </c>
      <c r="G299" s="173">
        <v>0</v>
      </c>
      <c r="H299" s="173">
        <v>115</v>
      </c>
      <c r="I299" s="173">
        <v>350</v>
      </c>
      <c r="J299" s="173"/>
      <c r="K299" s="173"/>
      <c r="L299" s="15"/>
      <c r="M299" s="15"/>
      <c r="N299" s="15"/>
      <c r="O299" s="15"/>
      <c r="P299" s="15"/>
      <c r="Q299" s="15"/>
      <c r="R299" s="15"/>
      <c r="V299" s="15"/>
    </row>
    <row r="300" spans="1:22" x14ac:dyDescent="0.4">
      <c r="A300" s="170" t="s">
        <v>33</v>
      </c>
      <c r="B300" s="3" t="s">
        <v>110</v>
      </c>
      <c r="C300" s="3" t="s">
        <v>0</v>
      </c>
      <c r="D300" s="171" t="s">
        <v>29</v>
      </c>
      <c r="E300" s="172"/>
      <c r="F300" s="173">
        <v>1000</v>
      </c>
      <c r="G300" s="173">
        <v>0</v>
      </c>
      <c r="H300" s="173">
        <v>115</v>
      </c>
      <c r="I300" s="173">
        <v>350</v>
      </c>
      <c r="J300" s="173">
        <f>Tabelle4[[#This Row],[1st strength]]</f>
        <v>1000</v>
      </c>
      <c r="K300" s="173"/>
      <c r="L300" s="15"/>
      <c r="M300" s="15"/>
      <c r="N300" s="15"/>
      <c r="O300" s="15"/>
      <c r="P300" s="15"/>
      <c r="Q300" s="15"/>
      <c r="R300" s="15"/>
      <c r="V300" s="15"/>
    </row>
    <row r="301" spans="1:22" x14ac:dyDescent="0.4">
      <c r="A301" s="170" t="s">
        <v>33</v>
      </c>
      <c r="B301" s="3" t="s">
        <v>110</v>
      </c>
      <c r="C301" s="3" t="s">
        <v>0</v>
      </c>
      <c r="D301" s="171" t="s">
        <v>5</v>
      </c>
      <c r="E301" s="172"/>
      <c r="F301" s="173">
        <v>4000</v>
      </c>
      <c r="G301" s="173">
        <v>0</v>
      </c>
      <c r="H301" s="173">
        <v>115</v>
      </c>
      <c r="I301" s="173">
        <v>350</v>
      </c>
      <c r="J301" s="173">
        <f>Tabelle4[[#This Row],[1st strength]]</f>
        <v>4000</v>
      </c>
      <c r="K301" s="173"/>
      <c r="L301" s="15"/>
      <c r="M301" s="15"/>
      <c r="N301" s="15"/>
      <c r="O301" s="15"/>
      <c r="P301" s="15"/>
      <c r="Q301" s="15"/>
      <c r="R301" s="15"/>
      <c r="V301" s="15"/>
    </row>
    <row r="302" spans="1:22" x14ac:dyDescent="0.4">
      <c r="A302" s="170" t="s">
        <v>34</v>
      </c>
      <c r="B302" s="3" t="s">
        <v>108</v>
      </c>
      <c r="C302" s="3" t="s">
        <v>1</v>
      </c>
      <c r="D302" s="171"/>
      <c r="E302" s="172"/>
      <c r="F302" s="173">
        <v>0</v>
      </c>
      <c r="G302" s="173">
        <v>0</v>
      </c>
      <c r="H302" s="173">
        <v>0</v>
      </c>
      <c r="I302" s="173"/>
      <c r="J302" s="173"/>
      <c r="K302" s="173"/>
      <c r="L302" s="15"/>
      <c r="M302" s="15"/>
      <c r="N302" s="15"/>
      <c r="O302" s="15"/>
      <c r="P302" s="15"/>
      <c r="Q302" s="15"/>
      <c r="R302" s="15"/>
      <c r="V302" s="15"/>
    </row>
    <row r="303" spans="1:22" x14ac:dyDescent="0.4">
      <c r="A303" s="170" t="s">
        <v>34</v>
      </c>
      <c r="B303" s="3" t="s">
        <v>109</v>
      </c>
      <c r="C303" s="3" t="s">
        <v>1</v>
      </c>
      <c r="D303" s="171"/>
      <c r="E303" s="172"/>
      <c r="F303" s="173">
        <v>0</v>
      </c>
      <c r="G303" s="173">
        <v>0</v>
      </c>
      <c r="H303" s="173">
        <v>0</v>
      </c>
      <c r="I303" s="173">
        <v>0</v>
      </c>
      <c r="J303" s="173"/>
      <c r="K303" s="173"/>
      <c r="L303" s="15"/>
      <c r="M303" s="15"/>
      <c r="N303" s="15"/>
      <c r="O303" s="15"/>
      <c r="P303" s="15"/>
      <c r="Q303" s="15"/>
      <c r="R303" s="15"/>
      <c r="V303" s="15"/>
    </row>
    <row r="304" spans="1:22" x14ac:dyDescent="0.4">
      <c r="A304" s="170" t="s">
        <v>34</v>
      </c>
      <c r="B304" s="3" t="s">
        <v>110</v>
      </c>
      <c r="C304" s="3" t="s">
        <v>1</v>
      </c>
      <c r="D304" s="171" t="s">
        <v>29</v>
      </c>
      <c r="E304" s="172"/>
      <c r="F304" s="173">
        <v>0</v>
      </c>
      <c r="G304" s="173">
        <v>0</v>
      </c>
      <c r="H304" s="173">
        <v>0</v>
      </c>
      <c r="I304" s="173">
        <v>0</v>
      </c>
      <c r="J304" s="173">
        <v>0</v>
      </c>
      <c r="K304" s="173"/>
      <c r="L304" s="15"/>
      <c r="M304" s="15"/>
      <c r="N304" s="15"/>
      <c r="O304" s="15"/>
      <c r="P304" s="15"/>
      <c r="Q304" s="15"/>
      <c r="R304" s="15"/>
      <c r="V304" s="15"/>
    </row>
    <row r="305" spans="1:22" x14ac:dyDescent="0.4">
      <c r="A305" s="170" t="s">
        <v>34</v>
      </c>
      <c r="B305" s="3" t="s">
        <v>110</v>
      </c>
      <c r="C305" s="3" t="s">
        <v>1</v>
      </c>
      <c r="D305" s="171" t="s">
        <v>5</v>
      </c>
      <c r="E305" s="172"/>
      <c r="F305" s="173">
        <v>0</v>
      </c>
      <c r="G305" s="173">
        <v>0</v>
      </c>
      <c r="H305" s="173">
        <v>0</v>
      </c>
      <c r="I305" s="173">
        <v>0</v>
      </c>
      <c r="J305" s="173">
        <v>0</v>
      </c>
      <c r="K305" s="173"/>
      <c r="L305" s="15"/>
      <c r="M305" s="15"/>
      <c r="N305" s="15"/>
      <c r="O305" s="15"/>
      <c r="P305" s="15"/>
      <c r="Q305" s="15"/>
      <c r="R305" s="15"/>
      <c r="V305" s="15"/>
    </row>
    <row r="306" spans="1:22" x14ac:dyDescent="0.4">
      <c r="A306" s="170" t="s">
        <v>34</v>
      </c>
      <c r="B306" s="3" t="s">
        <v>108</v>
      </c>
      <c r="C306" s="3" t="s">
        <v>2</v>
      </c>
      <c r="D306" s="171"/>
      <c r="E306" s="172"/>
      <c r="F306" s="173">
        <v>0</v>
      </c>
      <c r="G306" s="173">
        <v>0</v>
      </c>
      <c r="H306" s="173">
        <v>0</v>
      </c>
      <c r="I306" s="173"/>
      <c r="J306" s="173"/>
      <c r="K306" s="173"/>
      <c r="L306" s="15"/>
      <c r="M306" s="15"/>
      <c r="N306" s="15"/>
      <c r="O306" s="15"/>
      <c r="P306" s="15"/>
      <c r="Q306" s="15"/>
      <c r="R306" s="15"/>
      <c r="V306" s="15"/>
    </row>
    <row r="307" spans="1:22" x14ac:dyDescent="0.4">
      <c r="A307" s="170" t="s">
        <v>34</v>
      </c>
      <c r="B307" s="3" t="s">
        <v>109</v>
      </c>
      <c r="C307" s="3" t="s">
        <v>2</v>
      </c>
      <c r="D307" s="171"/>
      <c r="E307" s="172"/>
      <c r="F307" s="173">
        <v>0</v>
      </c>
      <c r="G307" s="173">
        <v>0</v>
      </c>
      <c r="H307" s="173">
        <v>0</v>
      </c>
      <c r="I307" s="173">
        <v>0</v>
      </c>
      <c r="J307" s="173"/>
      <c r="K307" s="173"/>
      <c r="L307" s="15"/>
      <c r="M307" s="15"/>
      <c r="N307" s="15"/>
      <c r="O307" s="15"/>
      <c r="P307" s="15"/>
      <c r="Q307" s="15"/>
      <c r="R307" s="15"/>
      <c r="V307" s="15"/>
    </row>
    <row r="308" spans="1:22" x14ac:dyDescent="0.4">
      <c r="A308" s="170" t="s">
        <v>34</v>
      </c>
      <c r="B308" s="3" t="s">
        <v>110</v>
      </c>
      <c r="C308" s="3" t="s">
        <v>2</v>
      </c>
      <c r="D308" s="171" t="s">
        <v>29</v>
      </c>
      <c r="E308" s="172"/>
      <c r="F308" s="173">
        <v>0</v>
      </c>
      <c r="G308" s="173">
        <v>0</v>
      </c>
      <c r="H308" s="173">
        <v>0</v>
      </c>
      <c r="I308" s="173">
        <v>0</v>
      </c>
      <c r="J308" s="173">
        <v>0</v>
      </c>
      <c r="K308" s="173"/>
      <c r="L308" s="15"/>
      <c r="M308" s="15"/>
      <c r="N308" s="15"/>
      <c r="O308" s="15"/>
      <c r="P308" s="15"/>
      <c r="Q308" s="15"/>
      <c r="R308" s="15"/>
      <c r="V308" s="15"/>
    </row>
    <row r="309" spans="1:22" x14ac:dyDescent="0.4">
      <c r="A309" s="170" t="s">
        <v>34</v>
      </c>
      <c r="B309" s="3" t="s">
        <v>110</v>
      </c>
      <c r="C309" s="3" t="s">
        <v>2</v>
      </c>
      <c r="D309" s="171" t="s">
        <v>5</v>
      </c>
      <c r="E309" s="172"/>
      <c r="F309" s="173">
        <v>0</v>
      </c>
      <c r="G309" s="173">
        <v>0</v>
      </c>
      <c r="H309" s="173">
        <v>0</v>
      </c>
      <c r="I309" s="173">
        <v>0</v>
      </c>
      <c r="J309" s="173">
        <v>0</v>
      </c>
      <c r="K309" s="173"/>
      <c r="L309" s="15"/>
      <c r="M309" s="15"/>
      <c r="N309" s="15"/>
      <c r="O309" s="15"/>
      <c r="P309" s="15"/>
      <c r="Q309" s="15"/>
      <c r="R309" s="15"/>
      <c r="V309" s="15"/>
    </row>
    <row r="310" spans="1:22" x14ac:dyDescent="0.4">
      <c r="A310" s="170" t="s">
        <v>34</v>
      </c>
      <c r="B310" s="3" t="s">
        <v>108</v>
      </c>
      <c r="C310" s="3" t="s">
        <v>0</v>
      </c>
      <c r="D310" s="171"/>
      <c r="E310" s="172"/>
      <c r="F310" s="173">
        <v>0</v>
      </c>
      <c r="G310" s="173">
        <v>0</v>
      </c>
      <c r="H310" s="173">
        <v>0</v>
      </c>
      <c r="I310" s="173"/>
      <c r="J310" s="173"/>
      <c r="K310" s="173"/>
      <c r="L310" s="15"/>
      <c r="M310" s="15"/>
      <c r="N310" s="15"/>
      <c r="O310" s="15"/>
      <c r="P310" s="15"/>
      <c r="Q310" s="15"/>
      <c r="R310" s="15"/>
      <c r="V310" s="15"/>
    </row>
    <row r="311" spans="1:22" x14ac:dyDescent="0.4">
      <c r="A311" s="170" t="s">
        <v>34</v>
      </c>
      <c r="B311" s="3" t="s">
        <v>109</v>
      </c>
      <c r="C311" s="3" t="s">
        <v>0</v>
      </c>
      <c r="D311" s="171"/>
      <c r="E311" s="172"/>
      <c r="F311" s="173">
        <v>0</v>
      </c>
      <c r="G311" s="173">
        <v>0</v>
      </c>
      <c r="H311" s="173">
        <v>0</v>
      </c>
      <c r="I311" s="173">
        <v>0</v>
      </c>
      <c r="J311" s="173"/>
      <c r="K311" s="173"/>
      <c r="L311" s="15"/>
      <c r="M311" s="15"/>
      <c r="N311" s="15"/>
      <c r="O311" s="15"/>
      <c r="P311" s="15"/>
      <c r="Q311" s="15"/>
      <c r="R311" s="15"/>
      <c r="V311" s="15"/>
    </row>
    <row r="312" spans="1:22" x14ac:dyDescent="0.4">
      <c r="A312" s="170" t="s">
        <v>34</v>
      </c>
      <c r="B312" s="3" t="s">
        <v>110</v>
      </c>
      <c r="C312" s="3" t="s">
        <v>0</v>
      </c>
      <c r="D312" s="171" t="s">
        <v>29</v>
      </c>
      <c r="E312" s="172"/>
      <c r="F312" s="173">
        <v>0</v>
      </c>
      <c r="G312" s="173">
        <v>0</v>
      </c>
      <c r="H312" s="173">
        <v>0</v>
      </c>
      <c r="I312" s="173">
        <v>0</v>
      </c>
      <c r="J312" s="173">
        <v>0</v>
      </c>
      <c r="K312" s="173"/>
      <c r="L312" s="15"/>
      <c r="M312" s="15"/>
      <c r="N312" s="15"/>
      <c r="O312" s="15"/>
      <c r="P312" s="15"/>
      <c r="Q312" s="15"/>
      <c r="R312" s="15"/>
      <c r="V312" s="15"/>
    </row>
    <row r="313" spans="1:22" x14ac:dyDescent="0.4">
      <c r="A313" s="170" t="s">
        <v>34</v>
      </c>
      <c r="B313" s="3" t="s">
        <v>110</v>
      </c>
      <c r="C313" s="3" t="s">
        <v>0</v>
      </c>
      <c r="D313" s="171" t="s">
        <v>5</v>
      </c>
      <c r="E313" s="172"/>
      <c r="F313" s="173">
        <v>0</v>
      </c>
      <c r="G313" s="173">
        <v>0</v>
      </c>
      <c r="H313" s="173">
        <v>0</v>
      </c>
      <c r="I313" s="173">
        <v>0</v>
      </c>
      <c r="J313" s="173">
        <v>0</v>
      </c>
      <c r="K313" s="173"/>
      <c r="L313" s="15"/>
      <c r="M313" s="15"/>
      <c r="N313" s="15"/>
      <c r="O313" s="15"/>
      <c r="P313" s="15"/>
      <c r="Q313" s="15"/>
      <c r="R313" s="15"/>
      <c r="V313" s="15"/>
    </row>
    <row r="314" spans="1:22" x14ac:dyDescent="0.4">
      <c r="A314" s="170" t="s">
        <v>35</v>
      </c>
      <c r="B314" s="3" t="s">
        <v>108</v>
      </c>
      <c r="C314" s="3" t="s">
        <v>1</v>
      </c>
      <c r="D314" s="171"/>
      <c r="E314" s="172"/>
      <c r="F314" s="189">
        <v>0</v>
      </c>
      <c r="G314" s="189">
        <v>0</v>
      </c>
      <c r="H314" s="189">
        <v>0</v>
      </c>
      <c r="I314" s="189"/>
      <c r="J314" s="189"/>
      <c r="K314" s="189"/>
      <c r="L314" s="15"/>
      <c r="M314" s="15"/>
      <c r="N314" s="15"/>
      <c r="O314" s="15"/>
      <c r="P314" s="15"/>
      <c r="Q314" s="15"/>
      <c r="R314" s="15"/>
      <c r="V314" s="15"/>
    </row>
    <row r="315" spans="1:22" x14ac:dyDescent="0.4">
      <c r="A315" s="170" t="s">
        <v>35</v>
      </c>
      <c r="B315" s="3" t="s">
        <v>109</v>
      </c>
      <c r="C315" s="3" t="s">
        <v>1</v>
      </c>
      <c r="D315" s="171"/>
      <c r="E315" s="172"/>
      <c r="F315" s="189">
        <v>0</v>
      </c>
      <c r="G315" s="189">
        <v>0</v>
      </c>
      <c r="H315" s="189">
        <v>0</v>
      </c>
      <c r="I315" s="189">
        <v>0</v>
      </c>
      <c r="J315" s="189"/>
      <c r="K315" s="189"/>
      <c r="L315" s="15"/>
      <c r="M315" s="15"/>
      <c r="N315" s="15"/>
      <c r="O315" s="15"/>
      <c r="P315" s="15"/>
      <c r="Q315" s="15"/>
      <c r="R315" s="15"/>
      <c r="V315" s="15"/>
    </row>
    <row r="316" spans="1:22" x14ac:dyDescent="0.4">
      <c r="A316" s="170" t="s">
        <v>35</v>
      </c>
      <c r="B316" s="3" t="s">
        <v>109</v>
      </c>
      <c r="C316" s="3" t="s">
        <v>1</v>
      </c>
      <c r="D316" s="171" t="s">
        <v>263</v>
      </c>
      <c r="E316" s="172"/>
      <c r="F316" s="189">
        <v>14079</v>
      </c>
      <c r="G316" s="189">
        <v>0</v>
      </c>
      <c r="H316" s="189">
        <v>0</v>
      </c>
      <c r="I316" s="189">
        <f>Tabelle4[[#This Row],[1st strength]]</f>
        <v>14079</v>
      </c>
      <c r="J316" s="189"/>
      <c r="K316" s="189"/>
      <c r="L316" s="15"/>
      <c r="M316" s="15"/>
      <c r="N316" s="15"/>
      <c r="O316" s="15"/>
      <c r="P316" s="15"/>
      <c r="Q316" s="15"/>
      <c r="R316" s="15"/>
      <c r="V316" s="15"/>
    </row>
    <row r="317" spans="1:22" x14ac:dyDescent="0.4">
      <c r="A317" s="170" t="s">
        <v>35</v>
      </c>
      <c r="B317" s="3" t="s">
        <v>110</v>
      </c>
      <c r="C317" s="3" t="s">
        <v>1</v>
      </c>
      <c r="D317" s="171"/>
      <c r="E317" s="172"/>
      <c r="F317" s="189">
        <v>15362</v>
      </c>
      <c r="G317" s="189">
        <v>0</v>
      </c>
      <c r="H317" s="189">
        <v>0</v>
      </c>
      <c r="I317" s="189">
        <v>0</v>
      </c>
      <c r="J317" s="189">
        <f>Tabelle4[[#This Row],[1st strength]]</f>
        <v>15362</v>
      </c>
      <c r="K317" s="189"/>
      <c r="L317" s="15"/>
      <c r="M317" s="15"/>
      <c r="N317" s="15"/>
      <c r="O317" s="15"/>
      <c r="P317" s="15"/>
      <c r="Q317" s="15"/>
      <c r="R317" s="15"/>
      <c r="V317" s="15"/>
    </row>
    <row r="318" spans="1:22" x14ac:dyDescent="0.4">
      <c r="A318" s="170" t="s">
        <v>35</v>
      </c>
      <c r="B318" s="3" t="s">
        <v>110</v>
      </c>
      <c r="C318" s="3" t="s">
        <v>1</v>
      </c>
      <c r="D318" s="171" t="s">
        <v>264</v>
      </c>
      <c r="E318" s="172"/>
      <c r="F318" s="189">
        <v>96009</v>
      </c>
      <c r="G318" s="189">
        <v>0</v>
      </c>
      <c r="H318" s="189">
        <v>0</v>
      </c>
      <c r="I318" s="189">
        <f>F316</f>
        <v>14079</v>
      </c>
      <c r="J318" s="189">
        <f>Tabelle4[[#This Row],[1st strength]]</f>
        <v>96009</v>
      </c>
      <c r="K318" s="189"/>
      <c r="L318" s="15"/>
      <c r="M318" s="15"/>
      <c r="N318" s="15"/>
      <c r="O318" s="15"/>
      <c r="P318" s="15"/>
      <c r="Q318" s="15"/>
      <c r="R318" s="15"/>
      <c r="V318" s="15"/>
    </row>
    <row r="319" spans="1:22" x14ac:dyDescent="0.4">
      <c r="A319" s="170" t="s">
        <v>35</v>
      </c>
      <c r="B319" s="3" t="s">
        <v>108</v>
      </c>
      <c r="C319" s="3" t="s">
        <v>2</v>
      </c>
      <c r="D319" s="171"/>
      <c r="E319" s="172"/>
      <c r="F319" s="189">
        <v>0</v>
      </c>
      <c r="G319" s="189">
        <v>0</v>
      </c>
      <c r="H319" s="189">
        <v>0</v>
      </c>
      <c r="I319" s="189"/>
      <c r="J319" s="189"/>
      <c r="K319" s="189"/>
      <c r="L319" s="15"/>
      <c r="M319" s="15"/>
      <c r="N319" s="15"/>
      <c r="O319" s="15"/>
      <c r="P319" s="15"/>
      <c r="Q319" s="15"/>
      <c r="R319" s="15"/>
      <c r="V319" s="15"/>
    </row>
    <row r="320" spans="1:22" x14ac:dyDescent="0.4">
      <c r="A320" s="170" t="s">
        <v>35</v>
      </c>
      <c r="B320" s="3" t="s">
        <v>109</v>
      </c>
      <c r="C320" s="3" t="s">
        <v>2</v>
      </c>
      <c r="D320" s="171"/>
      <c r="E320" s="172"/>
      <c r="F320" s="189">
        <v>0</v>
      </c>
      <c r="G320" s="189">
        <v>0</v>
      </c>
      <c r="H320" s="189">
        <v>0</v>
      </c>
      <c r="I320" s="189">
        <v>0</v>
      </c>
      <c r="J320" s="189"/>
      <c r="K320" s="189"/>
      <c r="L320" s="15"/>
      <c r="M320" s="15"/>
      <c r="N320" s="15"/>
      <c r="O320" s="15"/>
      <c r="P320" s="15"/>
      <c r="Q320" s="15"/>
      <c r="R320" s="15"/>
      <c r="V320" s="15"/>
    </row>
    <row r="321" spans="1:22" x14ac:dyDescent="0.4">
      <c r="A321" s="170" t="s">
        <v>35</v>
      </c>
      <c r="B321" s="3" t="s">
        <v>109</v>
      </c>
      <c r="C321" s="3" t="s">
        <v>2</v>
      </c>
      <c r="D321" s="171" t="s">
        <v>263</v>
      </c>
      <c r="E321" s="172"/>
      <c r="F321" s="189">
        <v>8321</v>
      </c>
      <c r="G321" s="189">
        <v>0</v>
      </c>
      <c r="H321" s="189">
        <v>0</v>
      </c>
      <c r="I321" s="189">
        <f>Tabelle4[[#This Row],[1st strength]]</f>
        <v>8321</v>
      </c>
      <c r="J321" s="189"/>
      <c r="K321" s="189"/>
      <c r="L321" s="15"/>
      <c r="M321" s="15"/>
      <c r="N321" s="15"/>
      <c r="O321" s="15"/>
      <c r="P321" s="15"/>
      <c r="Q321" s="15"/>
      <c r="R321" s="15"/>
      <c r="V321" s="15"/>
    </row>
    <row r="322" spans="1:22" x14ac:dyDescent="0.4">
      <c r="A322" s="170" t="s">
        <v>35</v>
      </c>
      <c r="B322" s="3" t="s">
        <v>110</v>
      </c>
      <c r="C322" s="3" t="s">
        <v>2</v>
      </c>
      <c r="D322" s="171"/>
      <c r="E322" s="172"/>
      <c r="F322" s="189">
        <v>12802</v>
      </c>
      <c r="G322" s="189">
        <v>0</v>
      </c>
      <c r="H322" s="189">
        <v>0</v>
      </c>
      <c r="I322" s="189">
        <v>0</v>
      </c>
      <c r="J322" s="189">
        <f>Tabelle4[[#This Row],[1st strength]]</f>
        <v>12802</v>
      </c>
      <c r="K322" s="189"/>
      <c r="L322" s="15"/>
      <c r="M322" s="15"/>
      <c r="N322" s="15"/>
      <c r="O322" s="15"/>
      <c r="P322" s="15"/>
      <c r="Q322" s="15"/>
      <c r="R322" s="15"/>
      <c r="V322" s="15"/>
    </row>
    <row r="323" spans="1:22" x14ac:dyDescent="0.4">
      <c r="A323" s="170" t="s">
        <v>35</v>
      </c>
      <c r="B323" s="3" t="s">
        <v>110</v>
      </c>
      <c r="C323" s="3" t="s">
        <v>2</v>
      </c>
      <c r="D323" s="171" t="s">
        <v>264</v>
      </c>
      <c r="E323" s="172"/>
      <c r="F323" s="189">
        <v>44804</v>
      </c>
      <c r="G323" s="189">
        <v>0</v>
      </c>
      <c r="H323" s="189">
        <v>0</v>
      </c>
      <c r="I323" s="189">
        <f>F321</f>
        <v>8321</v>
      </c>
      <c r="J323" s="189">
        <f>Tabelle4[[#This Row],[1st strength]]</f>
        <v>44804</v>
      </c>
      <c r="K323" s="189"/>
      <c r="L323" s="15"/>
      <c r="M323" s="15"/>
      <c r="N323" s="15"/>
      <c r="O323" s="15"/>
      <c r="P323" s="15"/>
      <c r="Q323" s="15"/>
      <c r="R323" s="15"/>
      <c r="V323" s="15"/>
    </row>
    <row r="324" spans="1:22" x14ac:dyDescent="0.4">
      <c r="A324" s="170" t="s">
        <v>35</v>
      </c>
      <c r="B324" s="3" t="s">
        <v>108</v>
      </c>
      <c r="C324" s="3" t="s">
        <v>0</v>
      </c>
      <c r="D324" s="171"/>
      <c r="E324" s="172"/>
      <c r="F324" s="189">
        <v>0</v>
      </c>
      <c r="G324" s="189">
        <v>0</v>
      </c>
      <c r="H324" s="189">
        <v>0</v>
      </c>
      <c r="I324" s="189"/>
      <c r="J324" s="189"/>
      <c r="K324" s="189"/>
      <c r="L324" s="15"/>
      <c r="M324" s="15"/>
      <c r="N324" s="15"/>
      <c r="O324" s="15"/>
      <c r="P324" s="15"/>
      <c r="Q324" s="15"/>
      <c r="R324" s="15"/>
      <c r="V324" s="15"/>
    </row>
    <row r="325" spans="1:22" x14ac:dyDescent="0.4">
      <c r="A325" s="170" t="s">
        <v>35</v>
      </c>
      <c r="B325" s="3" t="s">
        <v>109</v>
      </c>
      <c r="C325" s="3" t="s">
        <v>0</v>
      </c>
      <c r="D325" s="171"/>
      <c r="E325" s="172"/>
      <c r="F325" s="189">
        <v>0</v>
      </c>
      <c r="G325" s="189">
        <v>0</v>
      </c>
      <c r="H325" s="189">
        <v>0</v>
      </c>
      <c r="I325" s="189">
        <v>0</v>
      </c>
      <c r="J325" s="189"/>
      <c r="K325" s="189"/>
      <c r="L325" s="15"/>
      <c r="M325" s="15"/>
      <c r="N325" s="15"/>
      <c r="O325" s="15"/>
      <c r="P325" s="15"/>
      <c r="Q325" s="15"/>
      <c r="R325" s="15"/>
      <c r="V325" s="15"/>
    </row>
    <row r="326" spans="1:22" x14ac:dyDescent="0.4">
      <c r="A326" s="170" t="s">
        <v>35</v>
      </c>
      <c r="B326" s="3" t="s">
        <v>109</v>
      </c>
      <c r="C326" s="3" t="s">
        <v>0</v>
      </c>
      <c r="D326" s="171" t="s">
        <v>263</v>
      </c>
      <c r="E326" s="172"/>
      <c r="F326" s="189">
        <v>10881</v>
      </c>
      <c r="G326" s="189">
        <v>0</v>
      </c>
      <c r="H326" s="189">
        <v>0</v>
      </c>
      <c r="I326" s="189">
        <f>Tabelle4[[#This Row],[1st strength]]</f>
        <v>10881</v>
      </c>
      <c r="J326" s="189"/>
      <c r="K326" s="189"/>
      <c r="L326" s="15"/>
      <c r="M326" s="15"/>
      <c r="N326" s="15"/>
      <c r="O326" s="15"/>
      <c r="P326" s="15"/>
      <c r="Q326" s="15"/>
      <c r="R326" s="15"/>
      <c r="V326" s="15"/>
    </row>
    <row r="327" spans="1:22" x14ac:dyDescent="0.4">
      <c r="A327" s="170" t="s">
        <v>35</v>
      </c>
      <c r="B327" s="3" t="s">
        <v>110</v>
      </c>
      <c r="C327" s="3" t="s">
        <v>0</v>
      </c>
      <c r="D327" s="171"/>
      <c r="E327" s="172"/>
      <c r="F327" s="189">
        <v>16002</v>
      </c>
      <c r="G327" s="189">
        <v>0</v>
      </c>
      <c r="H327" s="189">
        <v>0</v>
      </c>
      <c r="I327" s="189">
        <v>0</v>
      </c>
      <c r="J327" s="189">
        <f>Tabelle4[[#This Row],[1st strength]]</f>
        <v>16002</v>
      </c>
      <c r="K327" s="189"/>
      <c r="L327" s="15"/>
      <c r="M327" s="15"/>
      <c r="N327" s="15"/>
      <c r="O327" s="15"/>
      <c r="P327" s="15"/>
      <c r="Q327" s="15"/>
      <c r="R327" s="15"/>
      <c r="V327" s="15"/>
    </row>
    <row r="328" spans="1:22" x14ac:dyDescent="0.4">
      <c r="A328" s="170" t="s">
        <v>35</v>
      </c>
      <c r="B328" s="3" t="s">
        <v>110</v>
      </c>
      <c r="C328" s="3" t="s">
        <v>0</v>
      </c>
      <c r="D328" s="171" t="s">
        <v>264</v>
      </c>
      <c r="E328" s="172"/>
      <c r="F328" s="189">
        <v>96009</v>
      </c>
      <c r="G328" s="189">
        <v>0</v>
      </c>
      <c r="H328" s="189">
        <v>0</v>
      </c>
      <c r="I328" s="189">
        <f>F326</f>
        <v>10881</v>
      </c>
      <c r="J328" s="189">
        <f>Tabelle4[[#This Row],[1st strength]]</f>
        <v>96009</v>
      </c>
      <c r="K328" s="189"/>
      <c r="L328" s="15"/>
      <c r="M328" s="15"/>
      <c r="N328" s="15"/>
      <c r="O328" s="15"/>
      <c r="P328" s="15"/>
      <c r="Q328" s="15"/>
      <c r="R328" s="15"/>
      <c r="V328" s="15"/>
    </row>
    <row r="329" spans="1:22" x14ac:dyDescent="0.4">
      <c r="A329" s="170" t="s">
        <v>37</v>
      </c>
      <c r="B329" s="3" t="s">
        <v>108</v>
      </c>
      <c r="C329" s="3" t="s">
        <v>1</v>
      </c>
      <c r="D329" s="171"/>
      <c r="E329" s="172"/>
      <c r="F329" s="190">
        <v>3500</v>
      </c>
      <c r="G329" s="190">
        <f t="shared" ref="G329:G332" si="36">F329*0.8</f>
        <v>2800</v>
      </c>
      <c r="H329" s="190">
        <v>3500</v>
      </c>
      <c r="I329" s="190"/>
      <c r="J329" s="190"/>
      <c r="K329" s="190"/>
      <c r="L329" s="15"/>
      <c r="M329" s="15"/>
      <c r="N329" s="15"/>
      <c r="O329" s="15"/>
      <c r="P329" s="15"/>
      <c r="Q329" s="15"/>
      <c r="R329" s="15"/>
      <c r="V329" s="15"/>
    </row>
    <row r="330" spans="1:22" x14ac:dyDescent="0.4">
      <c r="A330" s="170" t="s">
        <v>37</v>
      </c>
      <c r="B330" s="3" t="s">
        <v>108</v>
      </c>
      <c r="C330" s="3" t="s">
        <v>1</v>
      </c>
      <c r="D330" s="191" t="s">
        <v>309</v>
      </c>
      <c r="E330" s="172"/>
      <c r="F330" s="190">
        <v>420</v>
      </c>
      <c r="G330" s="190">
        <f t="shared" si="36"/>
        <v>336</v>
      </c>
      <c r="H330" s="190">
        <v>3500</v>
      </c>
      <c r="I330" s="190"/>
      <c r="J330" s="190"/>
      <c r="K330" s="190"/>
      <c r="L330" s="15"/>
      <c r="M330" s="15"/>
      <c r="N330" s="15"/>
      <c r="O330" s="15"/>
      <c r="P330" s="15"/>
      <c r="Q330" s="15"/>
      <c r="R330" s="15"/>
      <c r="V330" s="15"/>
    </row>
    <row r="331" spans="1:22" x14ac:dyDescent="0.4">
      <c r="A331" s="170" t="s">
        <v>37</v>
      </c>
      <c r="B331" s="3" t="s">
        <v>109</v>
      </c>
      <c r="C331" s="3" t="s">
        <v>1</v>
      </c>
      <c r="D331" s="171"/>
      <c r="E331" s="172"/>
      <c r="F331" s="190">
        <v>5040</v>
      </c>
      <c r="G331" s="190">
        <f t="shared" si="36"/>
        <v>4032</v>
      </c>
      <c r="H331" s="190">
        <v>3500</v>
      </c>
      <c r="I331" s="190">
        <v>5040</v>
      </c>
      <c r="J331" s="190"/>
      <c r="K331" s="190"/>
      <c r="L331" s="15"/>
      <c r="M331" s="15"/>
      <c r="N331" s="15"/>
      <c r="O331" s="15"/>
      <c r="P331" s="15"/>
      <c r="Q331" s="15"/>
      <c r="R331" s="15"/>
      <c r="V331" s="15"/>
    </row>
    <row r="332" spans="1:22" x14ac:dyDescent="0.4">
      <c r="A332" s="170" t="s">
        <v>37</v>
      </c>
      <c r="B332" s="3" t="s">
        <v>110</v>
      </c>
      <c r="C332" s="3" t="s">
        <v>1</v>
      </c>
      <c r="D332" s="171"/>
      <c r="E332" s="172"/>
      <c r="F332" s="190">
        <v>20160</v>
      </c>
      <c r="G332" s="190">
        <f t="shared" si="36"/>
        <v>16128</v>
      </c>
      <c r="H332" s="190">
        <v>3500</v>
      </c>
      <c r="I332" s="190">
        <v>5040</v>
      </c>
      <c r="J332" s="190">
        <v>20160</v>
      </c>
      <c r="K332" s="190"/>
      <c r="L332" s="15"/>
      <c r="M332" s="15"/>
      <c r="N332" s="15"/>
      <c r="O332" s="15"/>
      <c r="P332" s="15"/>
      <c r="Q332" s="15"/>
      <c r="R332" s="15"/>
      <c r="V332" s="15"/>
    </row>
    <row r="333" spans="1:22" x14ac:dyDescent="0.4">
      <c r="A333" s="170" t="s">
        <v>37</v>
      </c>
      <c r="B333" s="3" t="s">
        <v>108</v>
      </c>
      <c r="C333" s="3" t="s">
        <v>2</v>
      </c>
      <c r="D333" s="171"/>
      <c r="E333" s="172"/>
      <c r="F333" s="190">
        <v>2500</v>
      </c>
      <c r="G333" s="190">
        <f>F333*0.8</f>
        <v>2000</v>
      </c>
      <c r="H333" s="190">
        <v>2500</v>
      </c>
      <c r="I333" s="190"/>
      <c r="J333" s="190"/>
      <c r="K333" s="190"/>
      <c r="L333" s="15"/>
      <c r="M333" s="15"/>
      <c r="N333" s="15"/>
      <c r="O333" s="15"/>
      <c r="P333" s="15"/>
      <c r="Q333" s="15"/>
      <c r="R333" s="15"/>
      <c r="V333" s="15"/>
    </row>
    <row r="334" spans="1:22" x14ac:dyDescent="0.4">
      <c r="A334" s="170" t="s">
        <v>37</v>
      </c>
      <c r="B334" s="3" t="s">
        <v>108</v>
      </c>
      <c r="C334" s="3" t="s">
        <v>2</v>
      </c>
      <c r="D334" s="191" t="s">
        <v>309</v>
      </c>
      <c r="E334" s="172"/>
      <c r="F334" s="190">
        <v>420</v>
      </c>
      <c r="G334" s="190">
        <f t="shared" ref="G334:G341" si="37">F334*0.8</f>
        <v>336</v>
      </c>
      <c r="H334" s="190">
        <v>2500</v>
      </c>
      <c r="I334" s="190"/>
      <c r="J334" s="190"/>
      <c r="K334" s="190"/>
      <c r="L334" s="15"/>
      <c r="M334" s="15"/>
      <c r="N334" s="15"/>
      <c r="O334" s="15"/>
      <c r="P334" s="15"/>
      <c r="Q334" s="15"/>
      <c r="R334" s="15"/>
      <c r="V334" s="15"/>
    </row>
    <row r="335" spans="1:22" x14ac:dyDescent="0.4">
      <c r="A335" s="170" t="s">
        <v>37</v>
      </c>
      <c r="B335" s="3" t="s">
        <v>109</v>
      </c>
      <c r="C335" s="3" t="s">
        <v>2</v>
      </c>
      <c r="D335" s="171"/>
      <c r="E335" s="172"/>
      <c r="F335" s="190">
        <v>4200</v>
      </c>
      <c r="G335" s="190">
        <f t="shared" si="37"/>
        <v>3360</v>
      </c>
      <c r="H335" s="190">
        <v>2500</v>
      </c>
      <c r="I335" s="190">
        <v>4200</v>
      </c>
      <c r="J335" s="190"/>
      <c r="K335" s="190"/>
      <c r="L335" s="15"/>
      <c r="M335" s="15"/>
      <c r="N335" s="15"/>
      <c r="O335" s="15"/>
      <c r="P335" s="15"/>
      <c r="Q335" s="15"/>
      <c r="R335" s="15"/>
      <c r="V335" s="15"/>
    </row>
    <row r="336" spans="1:22" x14ac:dyDescent="0.4">
      <c r="A336" s="170" t="s">
        <v>37</v>
      </c>
      <c r="B336" s="3" t="s">
        <v>109</v>
      </c>
      <c r="C336" s="3" t="s">
        <v>2</v>
      </c>
      <c r="D336" s="191" t="s">
        <v>310</v>
      </c>
      <c r="E336" s="172"/>
      <c r="F336" s="190">
        <v>420</v>
      </c>
      <c r="G336" s="190">
        <f t="shared" si="37"/>
        <v>336</v>
      </c>
      <c r="H336" s="190">
        <v>2500</v>
      </c>
      <c r="I336" s="190">
        <v>4200</v>
      </c>
      <c r="J336" s="190"/>
      <c r="K336" s="190"/>
      <c r="L336" s="15"/>
      <c r="M336" s="15"/>
      <c r="N336" s="15"/>
      <c r="O336" s="15"/>
      <c r="P336" s="15"/>
      <c r="Q336" s="15"/>
      <c r="R336" s="15"/>
      <c r="V336" s="15"/>
    </row>
    <row r="337" spans="1:22" x14ac:dyDescent="0.4">
      <c r="A337" s="170" t="s">
        <v>37</v>
      </c>
      <c r="B337" s="3" t="s">
        <v>110</v>
      </c>
      <c r="C337" s="3" t="s">
        <v>2</v>
      </c>
      <c r="D337" s="171"/>
      <c r="E337" s="172"/>
      <c r="F337" s="190">
        <v>16800</v>
      </c>
      <c r="G337" s="190">
        <f t="shared" si="37"/>
        <v>13440</v>
      </c>
      <c r="H337" s="190">
        <v>2500</v>
      </c>
      <c r="I337" s="190">
        <v>4200</v>
      </c>
      <c r="J337" s="190">
        <v>16800</v>
      </c>
      <c r="K337" s="190"/>
      <c r="L337" s="15"/>
      <c r="M337" s="15"/>
      <c r="N337" s="15"/>
      <c r="O337" s="15"/>
      <c r="P337" s="15"/>
      <c r="Q337" s="15"/>
      <c r="R337" s="15"/>
      <c r="V337" s="15"/>
    </row>
    <row r="338" spans="1:22" x14ac:dyDescent="0.4">
      <c r="A338" s="170" t="s">
        <v>37</v>
      </c>
      <c r="B338" s="3" t="s">
        <v>108</v>
      </c>
      <c r="C338" s="3" t="s">
        <v>0</v>
      </c>
      <c r="D338" s="171"/>
      <c r="E338" s="172"/>
      <c r="F338" s="190">
        <v>2500</v>
      </c>
      <c r="G338" s="190">
        <f t="shared" si="37"/>
        <v>2000</v>
      </c>
      <c r="H338" s="190">
        <v>2500</v>
      </c>
      <c r="I338" s="190"/>
      <c r="J338" s="190"/>
      <c r="K338" s="190"/>
      <c r="L338" s="15"/>
      <c r="M338" s="15"/>
      <c r="N338" s="15"/>
      <c r="O338" s="15"/>
      <c r="P338" s="15"/>
      <c r="Q338" s="15"/>
      <c r="R338" s="15"/>
      <c r="V338" s="15"/>
    </row>
    <row r="339" spans="1:22" x14ac:dyDescent="0.4">
      <c r="A339" s="170" t="s">
        <v>37</v>
      </c>
      <c r="B339" s="3" t="s">
        <v>108</v>
      </c>
      <c r="C339" s="3" t="s">
        <v>0</v>
      </c>
      <c r="D339" s="191" t="s">
        <v>309</v>
      </c>
      <c r="E339" s="172"/>
      <c r="F339" s="190">
        <v>420</v>
      </c>
      <c r="G339" s="190">
        <f t="shared" si="37"/>
        <v>336</v>
      </c>
      <c r="H339" s="190">
        <v>2500</v>
      </c>
      <c r="I339" s="190"/>
      <c r="J339" s="190"/>
      <c r="K339" s="190"/>
      <c r="L339" s="15"/>
      <c r="M339" s="15"/>
      <c r="N339" s="15"/>
      <c r="O339" s="15"/>
      <c r="P339" s="15"/>
      <c r="Q339" s="15"/>
      <c r="R339" s="15"/>
      <c r="V339" s="15"/>
    </row>
    <row r="340" spans="1:22" x14ac:dyDescent="0.4">
      <c r="A340" s="170" t="s">
        <v>37</v>
      </c>
      <c r="B340" s="3" t="s">
        <v>109</v>
      </c>
      <c r="C340" s="3" t="s">
        <v>0</v>
      </c>
      <c r="D340" s="171"/>
      <c r="E340" s="172"/>
      <c r="F340" s="190">
        <v>4200</v>
      </c>
      <c r="G340" s="190">
        <f t="shared" si="37"/>
        <v>3360</v>
      </c>
      <c r="H340" s="190">
        <v>2500</v>
      </c>
      <c r="I340" s="190">
        <v>4200</v>
      </c>
      <c r="J340" s="190"/>
      <c r="K340" s="190"/>
      <c r="L340" s="15"/>
      <c r="M340" s="15"/>
      <c r="N340" s="15"/>
      <c r="O340" s="15"/>
      <c r="P340" s="15"/>
      <c r="Q340" s="15"/>
      <c r="R340" s="15"/>
      <c r="V340" s="15"/>
    </row>
    <row r="341" spans="1:22" x14ac:dyDescent="0.4">
      <c r="A341" s="170" t="s">
        <v>37</v>
      </c>
      <c r="B341" s="3" t="s">
        <v>110</v>
      </c>
      <c r="C341" s="3" t="s">
        <v>0</v>
      </c>
      <c r="D341" s="171"/>
      <c r="E341" s="172"/>
      <c r="F341" s="190">
        <v>16800</v>
      </c>
      <c r="G341" s="190">
        <f t="shared" si="37"/>
        <v>13440</v>
      </c>
      <c r="H341" s="190">
        <v>2500</v>
      </c>
      <c r="I341" s="190">
        <v>4200</v>
      </c>
      <c r="J341" s="190">
        <v>16800</v>
      </c>
      <c r="K341" s="190"/>
      <c r="L341" s="15"/>
      <c r="M341" s="15"/>
      <c r="N341" s="15"/>
      <c r="O341" s="15"/>
      <c r="P341" s="15"/>
      <c r="Q341" s="15"/>
      <c r="R341" s="15"/>
      <c r="V341" s="15"/>
    </row>
    <row r="342" spans="1:22" x14ac:dyDescent="0.4">
      <c r="A342" s="170" t="s">
        <v>39</v>
      </c>
      <c r="B342" s="3" t="s">
        <v>108</v>
      </c>
      <c r="C342" s="3" t="s">
        <v>1</v>
      </c>
      <c r="D342" s="171"/>
      <c r="E342" s="172" t="s">
        <v>229</v>
      </c>
      <c r="F342" s="173">
        <v>797.94</v>
      </c>
      <c r="G342" s="173">
        <v>271.10000000000002</v>
      </c>
      <c r="H342" s="173">
        <v>797.94</v>
      </c>
      <c r="I342" s="173"/>
      <c r="J342" s="173"/>
      <c r="K342" s="173"/>
      <c r="L342" s="15"/>
      <c r="M342" s="15"/>
      <c r="N342" s="15"/>
      <c r="O342" s="15"/>
      <c r="P342" s="15"/>
      <c r="Q342" s="15"/>
      <c r="R342" s="15"/>
      <c r="V342" s="15"/>
    </row>
    <row r="343" spans="1:22" x14ac:dyDescent="0.4">
      <c r="A343" s="170" t="s">
        <v>39</v>
      </c>
      <c r="B343" s="3" t="s">
        <v>108</v>
      </c>
      <c r="C343" s="3" t="s">
        <v>1</v>
      </c>
      <c r="D343" s="177" t="s">
        <v>179</v>
      </c>
      <c r="E343" s="172" t="s">
        <v>230</v>
      </c>
      <c r="F343" s="173">
        <v>184.14</v>
      </c>
      <c r="G343" s="173">
        <v>184.14</v>
      </c>
      <c r="H343" s="173">
        <v>184.14</v>
      </c>
      <c r="I343" s="173"/>
      <c r="J343" s="173"/>
      <c r="K343" s="173"/>
      <c r="L343" s="15"/>
      <c r="M343" s="15"/>
      <c r="N343" s="15"/>
      <c r="O343" s="15"/>
      <c r="P343" s="15"/>
      <c r="Q343" s="15"/>
      <c r="R343" s="15"/>
      <c r="V343" s="15"/>
    </row>
    <row r="344" spans="1:22" x14ac:dyDescent="0.4">
      <c r="A344" s="170" t="s">
        <v>39</v>
      </c>
      <c r="B344" s="3" t="s">
        <v>109</v>
      </c>
      <c r="C344" s="3" t="s">
        <v>1</v>
      </c>
      <c r="D344" s="171"/>
      <c r="E344" s="172" t="s">
        <v>229</v>
      </c>
      <c r="F344" s="173">
        <v>797.94</v>
      </c>
      <c r="G344" s="173">
        <v>271.10000000000002</v>
      </c>
      <c r="H344" s="173">
        <v>797.94</v>
      </c>
      <c r="I344" s="173">
        <v>797.94</v>
      </c>
      <c r="J344" s="173"/>
      <c r="K344" s="173"/>
      <c r="L344" s="15"/>
      <c r="M344" s="15"/>
      <c r="N344" s="15"/>
      <c r="O344" s="15"/>
      <c r="P344" s="15"/>
      <c r="Q344" s="15"/>
      <c r="R344" s="15"/>
      <c r="V344" s="15"/>
    </row>
    <row r="345" spans="1:22" x14ac:dyDescent="0.4">
      <c r="A345" s="170" t="s">
        <v>39</v>
      </c>
      <c r="B345" s="3" t="s">
        <v>110</v>
      </c>
      <c r="C345" s="3" t="s">
        <v>1</v>
      </c>
      <c r="D345" s="171"/>
      <c r="E345" s="172" t="s">
        <v>236</v>
      </c>
      <c r="F345" s="173">
        <v>1585.65</v>
      </c>
      <c r="G345" s="173">
        <v>511.5</v>
      </c>
      <c r="H345" s="173">
        <v>797.94</v>
      </c>
      <c r="I345" s="173">
        <v>797.94</v>
      </c>
      <c r="J345" s="173">
        <v>1585.65</v>
      </c>
      <c r="K345" s="173"/>
      <c r="L345" s="15"/>
      <c r="M345" s="15"/>
      <c r="N345" s="15"/>
      <c r="O345" s="15"/>
      <c r="P345" s="15"/>
      <c r="Q345" s="15"/>
      <c r="R345" s="15"/>
      <c r="V345" s="15"/>
    </row>
    <row r="346" spans="1:22" x14ac:dyDescent="0.4">
      <c r="A346" s="170" t="s">
        <v>39</v>
      </c>
      <c r="B346" s="3" t="s">
        <v>108</v>
      </c>
      <c r="C346" s="3" t="s">
        <v>2</v>
      </c>
      <c r="D346" s="171"/>
      <c r="E346" s="172" t="s">
        <v>229</v>
      </c>
      <c r="F346" s="173">
        <v>797.94</v>
      </c>
      <c r="G346" s="173">
        <v>271.10000000000002</v>
      </c>
      <c r="H346" s="173">
        <v>797.94</v>
      </c>
      <c r="I346" s="173"/>
      <c r="J346" s="173"/>
      <c r="K346" s="173"/>
      <c r="L346" s="15"/>
      <c r="M346" s="15"/>
      <c r="N346" s="15"/>
      <c r="O346" s="15"/>
      <c r="P346" s="15"/>
      <c r="Q346" s="15"/>
      <c r="R346" s="15"/>
      <c r="V346" s="15"/>
    </row>
    <row r="347" spans="1:22" x14ac:dyDescent="0.4">
      <c r="A347" s="170" t="s">
        <v>39</v>
      </c>
      <c r="B347" s="3" t="s">
        <v>108</v>
      </c>
      <c r="C347" s="3" t="s">
        <v>2</v>
      </c>
      <c r="D347" s="177" t="s">
        <v>179</v>
      </c>
      <c r="E347" s="172" t="s">
        <v>230</v>
      </c>
      <c r="F347" s="173">
        <v>184.14</v>
      </c>
      <c r="G347" s="173">
        <v>184.14</v>
      </c>
      <c r="H347" s="173">
        <v>184.14</v>
      </c>
      <c r="I347" s="173"/>
      <c r="J347" s="173"/>
      <c r="K347" s="173"/>
      <c r="L347" s="15"/>
      <c r="M347" s="15"/>
      <c r="N347" s="15"/>
      <c r="O347" s="15"/>
      <c r="P347" s="15"/>
      <c r="Q347" s="15"/>
      <c r="R347" s="15"/>
      <c r="V347" s="15"/>
    </row>
    <row r="348" spans="1:22" x14ac:dyDescent="0.4">
      <c r="A348" s="170" t="s">
        <v>39</v>
      </c>
      <c r="B348" s="3" t="s">
        <v>109</v>
      </c>
      <c r="C348" s="3" t="s">
        <v>2</v>
      </c>
      <c r="D348" s="171"/>
      <c r="E348" s="172" t="s">
        <v>229</v>
      </c>
      <c r="F348" s="173">
        <v>797.94</v>
      </c>
      <c r="G348" s="173">
        <v>271.10000000000002</v>
      </c>
      <c r="H348" s="173">
        <v>797.94</v>
      </c>
      <c r="I348" s="173">
        <v>797.94</v>
      </c>
      <c r="J348" s="173"/>
      <c r="K348" s="173"/>
      <c r="L348" s="15"/>
      <c r="M348" s="15"/>
      <c r="N348" s="15"/>
      <c r="O348" s="15"/>
      <c r="P348" s="15"/>
      <c r="Q348" s="15"/>
      <c r="R348" s="15"/>
      <c r="V348" s="15"/>
    </row>
    <row r="349" spans="1:22" x14ac:dyDescent="0.4">
      <c r="A349" s="170" t="s">
        <v>39</v>
      </c>
      <c r="B349" s="3" t="s">
        <v>110</v>
      </c>
      <c r="C349" s="3" t="s">
        <v>2</v>
      </c>
      <c r="D349" s="171"/>
      <c r="E349" s="172" t="s">
        <v>236</v>
      </c>
      <c r="F349" s="173">
        <v>1585.65</v>
      </c>
      <c r="G349" s="173">
        <v>511.5</v>
      </c>
      <c r="H349" s="173">
        <v>797.94</v>
      </c>
      <c r="I349" s="173">
        <v>797.94</v>
      </c>
      <c r="J349" s="173">
        <v>1585.65</v>
      </c>
      <c r="K349" s="173"/>
      <c r="L349" s="15"/>
      <c r="M349" s="15"/>
      <c r="N349" s="15"/>
      <c r="O349" s="15"/>
      <c r="P349" s="15"/>
      <c r="Q349" s="15"/>
      <c r="R349" s="15"/>
      <c r="V349" s="15"/>
    </row>
    <row r="350" spans="1:22" x14ac:dyDescent="0.4">
      <c r="A350" s="170" t="s">
        <v>39</v>
      </c>
      <c r="B350" s="3" t="s">
        <v>108</v>
      </c>
      <c r="C350" s="3" t="s">
        <v>0</v>
      </c>
      <c r="D350" s="171"/>
      <c r="E350" s="172" t="s">
        <v>233</v>
      </c>
      <c r="F350" s="173">
        <v>478.76</v>
      </c>
      <c r="G350" s="173">
        <v>162.66</v>
      </c>
      <c r="H350" s="173">
        <v>478.76</v>
      </c>
      <c r="I350" s="173"/>
      <c r="J350" s="173"/>
      <c r="K350" s="173"/>
      <c r="L350" s="15"/>
      <c r="M350" s="15"/>
      <c r="N350" s="15"/>
      <c r="O350" s="15"/>
      <c r="P350" s="15"/>
      <c r="Q350" s="15"/>
      <c r="R350" s="15"/>
      <c r="V350" s="15"/>
    </row>
    <row r="351" spans="1:22" x14ac:dyDescent="0.4">
      <c r="A351" s="170" t="s">
        <v>39</v>
      </c>
      <c r="B351" s="3" t="s">
        <v>108</v>
      </c>
      <c r="C351" s="3" t="s">
        <v>0</v>
      </c>
      <c r="D351" s="177" t="s">
        <v>179</v>
      </c>
      <c r="E351" s="172" t="s">
        <v>234</v>
      </c>
      <c r="F351" s="173">
        <v>110.48</v>
      </c>
      <c r="G351" s="173">
        <v>110.48</v>
      </c>
      <c r="H351" s="173">
        <v>110.48</v>
      </c>
      <c r="I351" s="173"/>
      <c r="J351" s="173"/>
      <c r="K351" s="173"/>
      <c r="L351" s="15"/>
      <c r="M351" s="15"/>
      <c r="N351" s="15"/>
      <c r="O351" s="15"/>
      <c r="P351" s="15"/>
      <c r="Q351" s="15"/>
      <c r="R351" s="15"/>
      <c r="V351" s="15"/>
    </row>
    <row r="352" spans="1:22" x14ac:dyDescent="0.4">
      <c r="A352" s="170" t="s">
        <v>39</v>
      </c>
      <c r="B352" s="3" t="s">
        <v>108</v>
      </c>
      <c r="C352" s="3" t="s">
        <v>0</v>
      </c>
      <c r="D352" s="159" t="s">
        <v>231</v>
      </c>
      <c r="E352" s="172" t="s">
        <v>232</v>
      </c>
      <c r="F352" s="173">
        <v>383.63</v>
      </c>
      <c r="G352" s="173">
        <v>0</v>
      </c>
      <c r="H352" s="173">
        <v>383.63</v>
      </c>
      <c r="I352" s="176"/>
      <c r="J352" s="176"/>
      <c r="K352" s="176"/>
      <c r="L352" s="15"/>
      <c r="M352" s="15"/>
      <c r="N352" s="15"/>
      <c r="O352" s="15"/>
      <c r="P352" s="15"/>
      <c r="Q352" s="15"/>
      <c r="R352" s="15"/>
      <c r="V352" s="15"/>
    </row>
    <row r="353" spans="1:22" x14ac:dyDescent="0.4">
      <c r="A353" s="170" t="s">
        <v>39</v>
      </c>
      <c r="B353" s="3" t="s">
        <v>109</v>
      </c>
      <c r="C353" s="3" t="s">
        <v>0</v>
      </c>
      <c r="D353" s="171"/>
      <c r="E353" s="172" t="s">
        <v>233</v>
      </c>
      <c r="F353" s="173">
        <v>478.76</v>
      </c>
      <c r="G353" s="173">
        <v>162.66</v>
      </c>
      <c r="H353" s="173">
        <v>478.76</v>
      </c>
      <c r="I353" s="173">
        <v>478.76</v>
      </c>
      <c r="J353" s="173"/>
      <c r="K353" s="173"/>
      <c r="L353" s="15"/>
      <c r="M353" s="15"/>
      <c r="N353" s="15"/>
      <c r="O353" s="15"/>
      <c r="P353" s="15"/>
      <c r="Q353" s="15"/>
      <c r="R353" s="15"/>
      <c r="V353" s="15"/>
    </row>
    <row r="354" spans="1:22" x14ac:dyDescent="0.4">
      <c r="A354" s="170" t="s">
        <v>39</v>
      </c>
      <c r="B354" s="3" t="s">
        <v>110</v>
      </c>
      <c r="C354" s="3" t="s">
        <v>0</v>
      </c>
      <c r="D354" s="171"/>
      <c r="E354" s="172" t="s">
        <v>235</v>
      </c>
      <c r="F354" s="173">
        <v>951.39</v>
      </c>
      <c r="G354" s="173">
        <v>306.89999999999998</v>
      </c>
      <c r="H354" s="173">
        <v>478.76</v>
      </c>
      <c r="I354" s="173">
        <v>478.76</v>
      </c>
      <c r="J354" s="173">
        <v>951.39</v>
      </c>
      <c r="K354" s="173"/>
      <c r="L354" s="15"/>
      <c r="M354" s="15"/>
      <c r="N354" s="15"/>
      <c r="O354" s="15"/>
      <c r="P354" s="15"/>
      <c r="Q354" s="15"/>
      <c r="R354" s="15"/>
      <c r="V354" s="15"/>
    </row>
    <row r="355" spans="1:22" x14ac:dyDescent="0.4">
      <c r="A355" s="170" t="s">
        <v>40</v>
      </c>
      <c r="B355" s="3" t="s">
        <v>108</v>
      </c>
      <c r="C355" s="3" t="s">
        <v>1</v>
      </c>
      <c r="D355" s="171"/>
      <c r="E355" s="172" t="s">
        <v>265</v>
      </c>
      <c r="F355" s="173">
        <v>460</v>
      </c>
      <c r="G355" s="173">
        <v>460</v>
      </c>
      <c r="H355" s="173">
        <v>375</v>
      </c>
      <c r="I355" s="173"/>
      <c r="J355" s="173"/>
      <c r="K355" s="173"/>
      <c r="L355" s="15"/>
      <c r="M355" s="15"/>
      <c r="N355" s="15"/>
      <c r="O355" s="15"/>
      <c r="P355" s="15"/>
      <c r="Q355" s="15"/>
      <c r="R355" s="15"/>
      <c r="V355" s="15"/>
    </row>
    <row r="356" spans="1:22" x14ac:dyDescent="0.4">
      <c r="A356" s="170" t="s">
        <v>40</v>
      </c>
      <c r="B356" s="3" t="s">
        <v>109</v>
      </c>
      <c r="C356" s="3" t="s">
        <v>1</v>
      </c>
      <c r="D356" s="171"/>
      <c r="E356" s="172" t="s">
        <v>266</v>
      </c>
      <c r="F356" s="173">
        <v>760</v>
      </c>
      <c r="G356" s="173">
        <v>760</v>
      </c>
      <c r="H356" s="173">
        <v>375</v>
      </c>
      <c r="I356" s="173">
        <v>750</v>
      </c>
      <c r="J356" s="173"/>
      <c r="K356" s="173"/>
      <c r="L356" s="15"/>
      <c r="M356" s="15"/>
      <c r="N356" s="15"/>
      <c r="O356" s="15"/>
      <c r="P356" s="15"/>
      <c r="Q356" s="15"/>
      <c r="R356" s="15"/>
      <c r="V356" s="15"/>
    </row>
    <row r="357" spans="1:22" x14ac:dyDescent="0.4">
      <c r="A357" s="170" t="s">
        <v>40</v>
      </c>
      <c r="B357" s="3" t="s">
        <v>110</v>
      </c>
      <c r="C357" s="3" t="s">
        <v>1</v>
      </c>
      <c r="D357" s="171"/>
      <c r="E357" s="172" t="s">
        <v>267</v>
      </c>
      <c r="F357" s="173">
        <v>2400</v>
      </c>
      <c r="G357" s="173">
        <v>2400</v>
      </c>
      <c r="H357" s="173">
        <v>375</v>
      </c>
      <c r="I357" s="173">
        <v>750</v>
      </c>
      <c r="J357" s="173">
        <v>2400</v>
      </c>
      <c r="K357" s="173"/>
      <c r="L357" s="15"/>
      <c r="M357" s="15"/>
      <c r="N357" s="15"/>
      <c r="O357" s="15"/>
      <c r="P357" s="15"/>
      <c r="Q357" s="15"/>
      <c r="R357" s="15"/>
      <c r="V357" s="15"/>
    </row>
    <row r="358" spans="1:22" x14ac:dyDescent="0.4">
      <c r="A358" s="170" t="s">
        <v>40</v>
      </c>
      <c r="B358" s="3" t="s">
        <v>108</v>
      </c>
      <c r="C358" s="3" t="s">
        <v>2</v>
      </c>
      <c r="D358" s="171"/>
      <c r="E358" s="172" t="s">
        <v>268</v>
      </c>
      <c r="F358" s="173">
        <v>300</v>
      </c>
      <c r="G358" s="173">
        <v>300</v>
      </c>
      <c r="H358" s="173">
        <v>165</v>
      </c>
      <c r="I358" s="173"/>
      <c r="J358" s="173"/>
      <c r="K358" s="173"/>
      <c r="L358" s="15"/>
      <c r="M358" s="15"/>
      <c r="N358" s="15"/>
      <c r="O358" s="15"/>
      <c r="P358" s="15"/>
      <c r="Q358" s="15"/>
      <c r="R358" s="15"/>
      <c r="V358" s="15"/>
    </row>
    <row r="359" spans="1:22" x14ac:dyDescent="0.4">
      <c r="A359" s="170" t="s">
        <v>40</v>
      </c>
      <c r="B359" s="3" t="s">
        <v>109</v>
      </c>
      <c r="C359" s="3" t="s">
        <v>2</v>
      </c>
      <c r="D359" s="171"/>
      <c r="E359" s="172" t="s">
        <v>269</v>
      </c>
      <c r="F359" s="173">
        <v>500</v>
      </c>
      <c r="G359" s="173">
        <v>500</v>
      </c>
      <c r="H359" s="173">
        <v>165</v>
      </c>
      <c r="I359" s="173">
        <v>225</v>
      </c>
      <c r="J359" s="173"/>
      <c r="K359" s="173"/>
      <c r="L359" s="15"/>
      <c r="M359" s="15"/>
      <c r="N359" s="15"/>
      <c r="O359" s="15"/>
      <c r="P359" s="15"/>
      <c r="Q359" s="15"/>
      <c r="R359" s="15"/>
      <c r="V359" s="15"/>
    </row>
    <row r="360" spans="1:22" x14ac:dyDescent="0.4">
      <c r="A360" s="170" t="s">
        <v>40</v>
      </c>
      <c r="B360" s="3" t="s">
        <v>110</v>
      </c>
      <c r="C360" s="3" t="s">
        <v>2</v>
      </c>
      <c r="D360" s="171"/>
      <c r="E360" s="172" t="s">
        <v>270</v>
      </c>
      <c r="F360" s="173">
        <v>1600</v>
      </c>
      <c r="G360" s="173">
        <v>1600</v>
      </c>
      <c r="H360" s="173">
        <v>165</v>
      </c>
      <c r="I360" s="173">
        <v>225</v>
      </c>
      <c r="J360" s="173">
        <v>825</v>
      </c>
      <c r="K360" s="173"/>
      <c r="L360" s="15"/>
      <c r="M360" s="15"/>
      <c r="N360" s="15"/>
      <c r="O360" s="15"/>
      <c r="P360" s="15"/>
      <c r="Q360" s="15"/>
      <c r="R360" s="15"/>
      <c r="V360" s="15"/>
    </row>
    <row r="361" spans="1:22" x14ac:dyDescent="0.4">
      <c r="A361" s="170" t="s">
        <v>40</v>
      </c>
      <c r="B361" s="3" t="s">
        <v>108</v>
      </c>
      <c r="C361" s="3" t="s">
        <v>0</v>
      </c>
      <c r="D361" s="171"/>
      <c r="E361" s="172" t="s">
        <v>271</v>
      </c>
      <c r="F361" s="173">
        <v>300</v>
      </c>
      <c r="G361" s="173">
        <v>300</v>
      </c>
      <c r="H361" s="173">
        <v>200</v>
      </c>
      <c r="I361" s="173"/>
      <c r="J361" s="173"/>
      <c r="K361" s="173"/>
      <c r="L361" s="15"/>
      <c r="M361" s="15"/>
      <c r="N361" s="15"/>
      <c r="O361" s="15"/>
      <c r="P361" s="15"/>
      <c r="Q361" s="15"/>
      <c r="R361" s="15"/>
      <c r="V361" s="15"/>
    </row>
    <row r="362" spans="1:22" x14ac:dyDescent="0.4">
      <c r="A362" s="170" t="s">
        <v>40</v>
      </c>
      <c r="B362" s="3" t="s">
        <v>109</v>
      </c>
      <c r="C362" s="3" t="s">
        <v>0</v>
      </c>
      <c r="D362" s="171"/>
      <c r="E362" s="172" t="s">
        <v>272</v>
      </c>
      <c r="F362" s="173">
        <v>500</v>
      </c>
      <c r="G362" s="173">
        <v>500</v>
      </c>
      <c r="H362" s="173">
        <v>200</v>
      </c>
      <c r="I362" s="173">
        <v>340</v>
      </c>
      <c r="J362" s="173"/>
      <c r="K362" s="173"/>
      <c r="L362" s="15"/>
      <c r="M362" s="15"/>
      <c r="N362" s="15"/>
      <c r="O362" s="15"/>
      <c r="P362" s="15"/>
      <c r="Q362" s="15"/>
      <c r="R362" s="15"/>
      <c r="V362" s="15"/>
    </row>
    <row r="363" spans="1:22" x14ac:dyDescent="0.4">
      <c r="A363" s="170" t="s">
        <v>40</v>
      </c>
      <c r="B363" s="3" t="s">
        <v>110</v>
      </c>
      <c r="C363" s="3" t="s">
        <v>0</v>
      </c>
      <c r="D363" s="171"/>
      <c r="E363" s="172" t="s">
        <v>273</v>
      </c>
      <c r="F363" s="173">
        <v>1600</v>
      </c>
      <c r="G363" s="173">
        <v>1600</v>
      </c>
      <c r="H363" s="173">
        <v>200</v>
      </c>
      <c r="I363" s="173">
        <v>340</v>
      </c>
      <c r="J363" s="173">
        <v>1070</v>
      </c>
      <c r="K363" s="173"/>
      <c r="L363" s="15"/>
      <c r="M363" s="15"/>
      <c r="N363" s="15"/>
      <c r="O363" s="15"/>
      <c r="P363" s="15"/>
      <c r="Q363" s="15"/>
      <c r="R363" s="15"/>
      <c r="V363" s="15"/>
    </row>
    <row r="364" spans="1:22" x14ac:dyDescent="0.4">
      <c r="A364" s="170" t="s">
        <v>43</v>
      </c>
      <c r="B364" s="3" t="s">
        <v>108</v>
      </c>
      <c r="C364" s="3" t="s">
        <v>1</v>
      </c>
      <c r="D364" s="171"/>
      <c r="E364" s="172"/>
      <c r="F364" s="192">
        <v>0</v>
      </c>
      <c r="G364" s="192">
        <v>0</v>
      </c>
      <c r="H364" s="192">
        <v>0</v>
      </c>
      <c r="I364" s="192">
        <v>0</v>
      </c>
      <c r="J364" s="192"/>
      <c r="K364" s="192"/>
      <c r="L364" s="15"/>
      <c r="M364" s="15"/>
      <c r="N364" s="15"/>
      <c r="O364" s="15"/>
      <c r="P364" s="15"/>
      <c r="Q364" s="15"/>
      <c r="R364" s="15"/>
      <c r="V364" s="15"/>
    </row>
    <row r="365" spans="1:22" x14ac:dyDescent="0.4">
      <c r="A365" s="170" t="s">
        <v>43</v>
      </c>
      <c r="B365" s="3" t="s">
        <v>109</v>
      </c>
      <c r="C365" s="3" t="s">
        <v>1</v>
      </c>
      <c r="D365" s="171"/>
      <c r="E365" s="172"/>
      <c r="F365" s="192">
        <v>0</v>
      </c>
      <c r="G365" s="192">
        <v>0</v>
      </c>
      <c r="H365" s="192">
        <v>0</v>
      </c>
      <c r="I365" s="192">
        <v>0</v>
      </c>
      <c r="J365" s="192"/>
      <c r="K365" s="192"/>
      <c r="L365" s="15"/>
      <c r="M365" s="15"/>
      <c r="N365" s="15"/>
      <c r="O365" s="15"/>
      <c r="P365" s="15"/>
      <c r="Q365" s="15"/>
      <c r="R365" s="15"/>
      <c r="V365" s="15"/>
    </row>
    <row r="366" spans="1:22" x14ac:dyDescent="0.4">
      <c r="A366" s="170" t="s">
        <v>43</v>
      </c>
      <c r="B366" s="3" t="s">
        <v>110</v>
      </c>
      <c r="C366" s="3" t="s">
        <v>1</v>
      </c>
      <c r="D366" s="171"/>
      <c r="E366" s="172"/>
      <c r="F366" s="192">
        <v>55000</v>
      </c>
      <c r="G366" s="192">
        <v>0</v>
      </c>
      <c r="H366" s="192">
        <v>0</v>
      </c>
      <c r="I366" s="192">
        <v>0</v>
      </c>
      <c r="J366" s="192">
        <v>55000</v>
      </c>
      <c r="K366" s="192"/>
      <c r="L366" s="15"/>
      <c r="M366" s="15"/>
      <c r="N366" s="15"/>
      <c r="O366" s="15"/>
      <c r="P366" s="15"/>
      <c r="Q366" s="15"/>
      <c r="R366" s="15"/>
      <c r="V366" s="15"/>
    </row>
    <row r="367" spans="1:22" x14ac:dyDescent="0.4">
      <c r="A367" s="170" t="s">
        <v>43</v>
      </c>
      <c r="B367" s="3" t="s">
        <v>110</v>
      </c>
      <c r="C367" s="3" t="s">
        <v>1</v>
      </c>
      <c r="D367" s="176" t="s">
        <v>1064</v>
      </c>
      <c r="E367" s="172"/>
      <c r="F367" s="192">
        <v>145000</v>
      </c>
      <c r="G367" s="192">
        <v>0</v>
      </c>
      <c r="H367" s="192">
        <v>0</v>
      </c>
      <c r="I367" s="192">
        <v>0</v>
      </c>
      <c r="J367" s="192">
        <v>145000</v>
      </c>
      <c r="K367" s="176"/>
      <c r="L367" s="15"/>
      <c r="M367" s="15"/>
      <c r="N367" s="15"/>
      <c r="O367" s="15"/>
      <c r="P367" s="15"/>
      <c r="Q367" s="15"/>
      <c r="R367" s="15"/>
      <c r="V367" s="15"/>
    </row>
    <row r="368" spans="1:22" x14ac:dyDescent="0.4">
      <c r="A368" s="170" t="s">
        <v>43</v>
      </c>
      <c r="B368" s="3" t="s">
        <v>108</v>
      </c>
      <c r="C368" s="3" t="s">
        <v>2</v>
      </c>
      <c r="D368" s="171"/>
      <c r="E368" s="172"/>
      <c r="F368" s="192">
        <v>0</v>
      </c>
      <c r="G368" s="192">
        <v>0</v>
      </c>
      <c r="H368" s="192">
        <v>0</v>
      </c>
      <c r="I368" s="192">
        <v>0</v>
      </c>
      <c r="J368" s="192"/>
      <c r="K368" s="192"/>
      <c r="L368" s="15"/>
      <c r="M368" s="15"/>
      <c r="N368" s="15"/>
      <c r="O368" s="15"/>
      <c r="P368" s="15"/>
      <c r="Q368" s="15"/>
      <c r="R368" s="15"/>
      <c r="V368" s="15"/>
    </row>
    <row r="369" spans="1:22" x14ac:dyDescent="0.4">
      <c r="A369" s="170" t="s">
        <v>43</v>
      </c>
      <c r="B369" s="3" t="s">
        <v>109</v>
      </c>
      <c r="C369" s="3" t="s">
        <v>2</v>
      </c>
      <c r="D369" s="171"/>
      <c r="E369" s="172"/>
      <c r="F369" s="192">
        <v>0</v>
      </c>
      <c r="G369" s="192">
        <v>0</v>
      </c>
      <c r="H369" s="192">
        <v>0</v>
      </c>
      <c r="I369" s="192">
        <v>0</v>
      </c>
      <c r="J369" s="192"/>
      <c r="K369" s="192"/>
      <c r="L369" s="15"/>
      <c r="M369" s="17"/>
      <c r="N369" s="15"/>
      <c r="O369" s="15"/>
      <c r="P369" s="15"/>
      <c r="Q369" s="15"/>
      <c r="R369" s="15"/>
      <c r="V369" s="15"/>
    </row>
    <row r="370" spans="1:22" x14ac:dyDescent="0.4">
      <c r="A370" s="170" t="s">
        <v>43</v>
      </c>
      <c r="B370" s="3" t="s">
        <v>110</v>
      </c>
      <c r="C370" s="3" t="s">
        <v>2</v>
      </c>
      <c r="D370" s="171"/>
      <c r="E370" s="172"/>
      <c r="F370" s="192">
        <v>8000</v>
      </c>
      <c r="G370" s="192">
        <v>0</v>
      </c>
      <c r="H370" s="192">
        <v>0</v>
      </c>
      <c r="I370" s="192">
        <v>0</v>
      </c>
      <c r="J370" s="192">
        <v>8000</v>
      </c>
      <c r="K370" s="192"/>
      <c r="L370" s="15"/>
      <c r="M370" s="17"/>
      <c r="N370" s="15"/>
      <c r="O370" s="15"/>
      <c r="P370" s="15"/>
      <c r="Q370" s="15"/>
      <c r="R370" s="15"/>
      <c r="V370" s="15"/>
    </row>
    <row r="371" spans="1:22" x14ac:dyDescent="0.4">
      <c r="A371" s="170" t="s">
        <v>43</v>
      </c>
      <c r="B371" s="3" t="s">
        <v>110</v>
      </c>
      <c r="C371" s="3" t="s">
        <v>2</v>
      </c>
      <c r="D371" s="176" t="s">
        <v>1064</v>
      </c>
      <c r="E371" s="172"/>
      <c r="F371" s="192">
        <v>38000</v>
      </c>
      <c r="G371" s="192">
        <v>0</v>
      </c>
      <c r="H371" s="192">
        <v>0</v>
      </c>
      <c r="I371" s="192">
        <v>0</v>
      </c>
      <c r="J371" s="192">
        <v>38000</v>
      </c>
      <c r="K371" s="176"/>
      <c r="L371" s="15"/>
      <c r="M371" s="17"/>
      <c r="N371" s="15"/>
      <c r="O371" s="15"/>
      <c r="P371" s="15"/>
      <c r="Q371" s="15"/>
      <c r="R371" s="15"/>
      <c r="V371" s="15"/>
    </row>
    <row r="372" spans="1:22" x14ac:dyDescent="0.4">
      <c r="A372" s="170" t="s">
        <v>43</v>
      </c>
      <c r="B372" s="3" t="s">
        <v>108</v>
      </c>
      <c r="C372" s="3" t="s">
        <v>0</v>
      </c>
      <c r="D372" s="171"/>
      <c r="E372" s="172"/>
      <c r="F372" s="192">
        <v>0</v>
      </c>
      <c r="G372" s="192">
        <v>0</v>
      </c>
      <c r="H372" s="192">
        <v>0</v>
      </c>
      <c r="I372" s="192">
        <v>0</v>
      </c>
      <c r="J372" s="192"/>
      <c r="K372" s="192"/>
      <c r="L372" s="15"/>
      <c r="M372" s="17"/>
      <c r="N372" s="15"/>
      <c r="O372" s="15"/>
      <c r="P372" s="15"/>
      <c r="Q372" s="15"/>
      <c r="R372" s="15"/>
      <c r="V372" s="15"/>
    </row>
    <row r="373" spans="1:22" x14ac:dyDescent="0.4">
      <c r="A373" s="170" t="s">
        <v>43</v>
      </c>
      <c r="B373" s="3" t="s">
        <v>109</v>
      </c>
      <c r="C373" s="3" t="s">
        <v>0</v>
      </c>
      <c r="D373" s="171"/>
      <c r="E373" s="172"/>
      <c r="F373" s="192">
        <v>0</v>
      </c>
      <c r="G373" s="192">
        <v>0</v>
      </c>
      <c r="H373" s="192">
        <v>0</v>
      </c>
      <c r="I373" s="192">
        <v>0</v>
      </c>
      <c r="J373" s="192"/>
      <c r="K373" s="192"/>
      <c r="L373" s="15"/>
      <c r="M373" s="17"/>
      <c r="N373" s="15"/>
      <c r="O373" s="15"/>
      <c r="P373" s="15"/>
      <c r="Q373" s="15"/>
      <c r="R373" s="15"/>
      <c r="V373" s="15"/>
    </row>
    <row r="374" spans="1:22" x14ac:dyDescent="0.4">
      <c r="A374" s="170" t="s">
        <v>43</v>
      </c>
      <c r="B374" s="3" t="s">
        <v>110</v>
      </c>
      <c r="C374" s="3" t="s">
        <v>0</v>
      </c>
      <c r="D374" s="171"/>
      <c r="E374" s="172"/>
      <c r="F374" s="192">
        <v>39000</v>
      </c>
      <c r="G374" s="192">
        <v>0</v>
      </c>
      <c r="H374" s="192">
        <v>0</v>
      </c>
      <c r="I374" s="192">
        <v>0</v>
      </c>
      <c r="J374" s="192">
        <v>30000</v>
      </c>
      <c r="K374" s="192"/>
      <c r="L374" s="15"/>
      <c r="M374" s="17"/>
      <c r="N374" s="15"/>
      <c r="O374" s="15"/>
      <c r="P374" s="15"/>
      <c r="Q374" s="15"/>
      <c r="R374" s="15"/>
      <c r="V374" s="15"/>
    </row>
    <row r="375" spans="1:22" x14ac:dyDescent="0.4">
      <c r="A375" s="170" t="s">
        <v>43</v>
      </c>
      <c r="B375" s="3" t="s">
        <v>110</v>
      </c>
      <c r="C375" s="3" t="s">
        <v>0</v>
      </c>
      <c r="D375" s="171" t="s">
        <v>1064</v>
      </c>
      <c r="E375" s="172"/>
      <c r="F375" s="192">
        <v>129000</v>
      </c>
      <c r="G375" s="192">
        <v>0</v>
      </c>
      <c r="H375" s="192">
        <v>0</v>
      </c>
      <c r="I375" s="192">
        <v>0</v>
      </c>
      <c r="J375" s="192">
        <v>129000</v>
      </c>
      <c r="K375" s="176"/>
      <c r="L375" s="15"/>
      <c r="M375" s="17"/>
      <c r="N375" s="15"/>
      <c r="O375" s="15"/>
      <c r="P375" s="15"/>
      <c r="Q375" s="15"/>
      <c r="R375" s="15"/>
      <c r="V375" s="15"/>
    </row>
    <row r="376" spans="1:22" x14ac:dyDescent="0.4">
      <c r="A376" s="170" t="s">
        <v>42</v>
      </c>
      <c r="B376" s="3" t="s">
        <v>108</v>
      </c>
      <c r="C376" s="3" t="s">
        <v>1</v>
      </c>
      <c r="D376" s="174"/>
      <c r="E376" s="172" t="s">
        <v>484</v>
      </c>
      <c r="F376" s="193">
        <v>310</v>
      </c>
      <c r="G376" s="193">
        <v>0</v>
      </c>
      <c r="H376" s="193">
        <f>F376*0.75</f>
        <v>232.5</v>
      </c>
      <c r="I376" s="193"/>
      <c r="J376" s="193"/>
      <c r="K376" s="173"/>
      <c r="L376" s="15"/>
      <c r="M376" s="17"/>
      <c r="N376" s="15"/>
      <c r="O376" s="15"/>
      <c r="P376" s="15"/>
      <c r="Q376" s="15"/>
      <c r="R376" s="15"/>
      <c r="V376" s="15"/>
    </row>
    <row r="377" spans="1:22" x14ac:dyDescent="0.4">
      <c r="A377" s="170" t="s">
        <v>42</v>
      </c>
      <c r="B377" s="3" t="s">
        <v>109</v>
      </c>
      <c r="C377" s="3" t="s">
        <v>1</v>
      </c>
      <c r="D377" s="174"/>
      <c r="E377" s="172" t="s">
        <v>485</v>
      </c>
      <c r="F377" s="193">
        <v>685</v>
      </c>
      <c r="G377" s="193">
        <v>0</v>
      </c>
      <c r="H377" s="193">
        <f>F376*0.75</f>
        <v>232.5</v>
      </c>
      <c r="I377" s="193">
        <f>F377*0.75</f>
        <v>513.75</v>
      </c>
      <c r="J377" s="193"/>
      <c r="K377" s="173"/>
      <c r="L377" s="15"/>
      <c r="M377" s="17"/>
      <c r="N377" s="15"/>
      <c r="O377" s="15"/>
      <c r="P377" s="15"/>
      <c r="Q377" s="15"/>
      <c r="R377" s="15"/>
      <c r="V377" s="15"/>
    </row>
    <row r="378" spans="1:22" x14ac:dyDescent="0.4">
      <c r="A378" s="170" t="s">
        <v>42</v>
      </c>
      <c r="B378" s="3" t="s">
        <v>110</v>
      </c>
      <c r="C378" s="3" t="s">
        <v>1</v>
      </c>
      <c r="D378" s="174"/>
      <c r="E378" s="172" t="s">
        <v>486</v>
      </c>
      <c r="F378" s="193">
        <v>1300</v>
      </c>
      <c r="G378" s="193">
        <v>0</v>
      </c>
      <c r="H378" s="193">
        <f>F376*0.75</f>
        <v>232.5</v>
      </c>
      <c r="I378" s="193">
        <f>F377*0.75</f>
        <v>513.75</v>
      </c>
      <c r="J378" s="193">
        <f>F378*0.75</f>
        <v>975</v>
      </c>
      <c r="K378" s="173"/>
      <c r="L378" s="15"/>
      <c r="M378" s="15"/>
      <c r="N378" s="15"/>
      <c r="O378" s="15"/>
      <c r="P378" s="15"/>
      <c r="Q378" s="15"/>
      <c r="R378" s="15"/>
      <c r="V378" s="15"/>
    </row>
    <row r="379" spans="1:22" x14ac:dyDescent="0.4">
      <c r="A379" s="170" t="s">
        <v>42</v>
      </c>
      <c r="B379" s="3" t="s">
        <v>108</v>
      </c>
      <c r="C379" s="3" t="s">
        <v>2</v>
      </c>
      <c r="D379" s="174"/>
      <c r="E379" s="172" t="s">
        <v>484</v>
      </c>
      <c r="F379" s="193">
        <v>30</v>
      </c>
      <c r="G379" s="193">
        <v>0</v>
      </c>
      <c r="H379" s="193">
        <f>F379*0.75</f>
        <v>22.5</v>
      </c>
      <c r="I379" s="193"/>
      <c r="J379" s="193"/>
      <c r="K379" s="173"/>
      <c r="L379" s="15"/>
      <c r="M379" s="15"/>
      <c r="N379" s="15"/>
      <c r="O379" s="15"/>
      <c r="P379" s="15"/>
      <c r="Q379" s="15"/>
      <c r="R379" s="15"/>
      <c r="V379" s="15"/>
    </row>
    <row r="380" spans="1:22" x14ac:dyDescent="0.4">
      <c r="A380" s="170" t="s">
        <v>42</v>
      </c>
      <c r="B380" s="3" t="s">
        <v>109</v>
      </c>
      <c r="C380" s="3" t="s">
        <v>2</v>
      </c>
      <c r="D380" s="174"/>
      <c r="E380" s="172" t="s">
        <v>485</v>
      </c>
      <c r="F380" s="193">
        <v>110</v>
      </c>
      <c r="G380" s="193">
        <v>0</v>
      </c>
      <c r="H380" s="193">
        <f>F379*0.75</f>
        <v>22.5</v>
      </c>
      <c r="I380" s="193">
        <f>F380*0.75</f>
        <v>82.5</v>
      </c>
      <c r="J380" s="193"/>
      <c r="K380" s="173"/>
      <c r="L380" s="15"/>
      <c r="M380" s="15"/>
      <c r="N380" s="15"/>
      <c r="O380" s="15"/>
      <c r="P380" s="15"/>
      <c r="Q380" s="15"/>
      <c r="R380" s="15"/>
      <c r="V380" s="15"/>
    </row>
    <row r="381" spans="1:22" x14ac:dyDescent="0.4">
      <c r="A381" s="170" t="s">
        <v>42</v>
      </c>
      <c r="B381" s="3" t="s">
        <v>110</v>
      </c>
      <c r="C381" s="3" t="s">
        <v>2</v>
      </c>
      <c r="D381" s="174"/>
      <c r="E381" s="172" t="s">
        <v>486</v>
      </c>
      <c r="F381" s="193">
        <v>140</v>
      </c>
      <c r="G381" s="193">
        <v>0</v>
      </c>
      <c r="H381" s="193">
        <f>F379*0.75</f>
        <v>22.5</v>
      </c>
      <c r="I381" s="193">
        <f>F380*0.75</f>
        <v>82.5</v>
      </c>
      <c r="J381" s="193">
        <f>F381*0.75</f>
        <v>105</v>
      </c>
      <c r="K381" s="173"/>
      <c r="L381" s="15"/>
      <c r="M381" s="15"/>
      <c r="N381" s="15"/>
      <c r="O381" s="15"/>
      <c r="P381" s="15"/>
      <c r="Q381" s="15"/>
      <c r="R381" s="15"/>
      <c r="V381" s="15"/>
    </row>
    <row r="382" spans="1:22" x14ac:dyDescent="0.4">
      <c r="A382" s="170" t="s">
        <v>42</v>
      </c>
      <c r="B382" s="3" t="s">
        <v>108</v>
      </c>
      <c r="C382" s="3" t="s">
        <v>0</v>
      </c>
      <c r="D382" s="174"/>
      <c r="E382" s="172" t="s">
        <v>484</v>
      </c>
      <c r="F382" s="193">
        <v>50</v>
      </c>
      <c r="G382" s="193">
        <v>0</v>
      </c>
      <c r="H382" s="193">
        <f>F382*0.75</f>
        <v>37.5</v>
      </c>
      <c r="I382" s="193"/>
      <c r="J382" s="193"/>
      <c r="K382" s="173"/>
      <c r="L382" s="15"/>
      <c r="M382" s="15"/>
      <c r="N382" s="15"/>
      <c r="O382" s="15"/>
      <c r="P382" s="15"/>
      <c r="Q382" s="15"/>
      <c r="R382" s="15"/>
      <c r="V382" s="15"/>
    </row>
    <row r="383" spans="1:22" x14ac:dyDescent="0.4">
      <c r="A383" s="170" t="s">
        <v>42</v>
      </c>
      <c r="B383" s="3" t="s">
        <v>109</v>
      </c>
      <c r="C383" s="3" t="s">
        <v>0</v>
      </c>
      <c r="D383" s="174"/>
      <c r="E383" s="172" t="s">
        <v>485</v>
      </c>
      <c r="F383" s="193">
        <v>110</v>
      </c>
      <c r="G383" s="193">
        <v>0</v>
      </c>
      <c r="H383" s="193">
        <f>F382*0.75</f>
        <v>37.5</v>
      </c>
      <c r="I383" s="193">
        <f>F383*0.75</f>
        <v>82.5</v>
      </c>
      <c r="J383" s="193"/>
      <c r="K383" s="173"/>
      <c r="L383" s="15"/>
      <c r="M383" s="15"/>
      <c r="N383" s="15"/>
      <c r="O383" s="15"/>
      <c r="P383" s="15"/>
      <c r="Q383" s="15"/>
      <c r="R383" s="15"/>
      <c r="V383" s="15"/>
    </row>
    <row r="384" spans="1:22" x14ac:dyDescent="0.4">
      <c r="A384" s="170" t="s">
        <v>42</v>
      </c>
      <c r="B384" s="3" t="s">
        <v>110</v>
      </c>
      <c r="C384" s="3" t="s">
        <v>0</v>
      </c>
      <c r="D384" s="174"/>
      <c r="E384" s="172" t="s">
        <v>486</v>
      </c>
      <c r="F384" s="193">
        <v>260</v>
      </c>
      <c r="G384" s="193">
        <v>0</v>
      </c>
      <c r="H384" s="193">
        <f>F382*0.75</f>
        <v>37.5</v>
      </c>
      <c r="I384" s="193">
        <f>F383*0.75</f>
        <v>82.5</v>
      </c>
      <c r="J384" s="193">
        <f>F384*0.75</f>
        <v>195</v>
      </c>
      <c r="K384" s="173"/>
      <c r="L384" s="15"/>
      <c r="M384" s="15"/>
      <c r="N384" s="15"/>
      <c r="O384" s="15"/>
      <c r="P384" s="15"/>
      <c r="Q384" s="15"/>
      <c r="R384" s="15"/>
      <c r="V384" s="15"/>
    </row>
    <row r="385" spans="1:22" x14ac:dyDescent="0.4">
      <c r="A385" s="170" t="s">
        <v>41</v>
      </c>
      <c r="B385" s="3" t="s">
        <v>108</v>
      </c>
      <c r="C385" s="3" t="s">
        <v>1</v>
      </c>
      <c r="D385" s="171"/>
      <c r="E385" s="172"/>
      <c r="F385" s="173">
        <v>200</v>
      </c>
      <c r="G385" s="173">
        <v>200</v>
      </c>
      <c r="H385" s="173">
        <v>200</v>
      </c>
      <c r="I385" s="173"/>
      <c r="J385" s="173"/>
      <c r="K385" s="173"/>
      <c r="L385" s="15"/>
      <c r="M385" s="15"/>
      <c r="N385" s="15"/>
      <c r="O385" s="15"/>
      <c r="P385" s="15"/>
      <c r="Q385" s="15"/>
      <c r="R385" s="15"/>
      <c r="V385" s="15"/>
    </row>
    <row r="386" spans="1:22" x14ac:dyDescent="0.4">
      <c r="A386" s="170" t="s">
        <v>41</v>
      </c>
      <c r="B386" s="3" t="s">
        <v>109</v>
      </c>
      <c r="C386" s="3" t="s">
        <v>1</v>
      </c>
      <c r="D386" s="171"/>
      <c r="E386" s="172"/>
      <c r="F386" s="173">
        <v>200</v>
      </c>
      <c r="G386" s="173">
        <v>200</v>
      </c>
      <c r="H386" s="173">
        <v>200</v>
      </c>
      <c r="I386" s="173">
        <v>200</v>
      </c>
      <c r="J386" s="173"/>
      <c r="K386" s="173"/>
      <c r="L386" s="15"/>
      <c r="M386" s="15"/>
      <c r="N386" s="15"/>
      <c r="O386" s="15"/>
      <c r="P386" s="15"/>
      <c r="Q386" s="15"/>
      <c r="R386" s="15"/>
      <c r="V386" s="15"/>
    </row>
    <row r="387" spans="1:22" x14ac:dyDescent="0.4">
      <c r="A387" s="170" t="s">
        <v>41</v>
      </c>
      <c r="B387" s="3" t="s">
        <v>110</v>
      </c>
      <c r="C387" s="3" t="s">
        <v>1</v>
      </c>
      <c r="D387" s="171"/>
      <c r="E387" s="172"/>
      <c r="F387" s="173">
        <v>5000</v>
      </c>
      <c r="G387" s="173">
        <v>200</v>
      </c>
      <c r="H387" s="173">
        <v>200</v>
      </c>
      <c r="I387" s="173">
        <v>200</v>
      </c>
      <c r="J387" s="173">
        <v>5000</v>
      </c>
      <c r="K387" s="173"/>
      <c r="L387" s="15"/>
      <c r="M387" s="15"/>
      <c r="N387" s="15"/>
      <c r="O387" s="15"/>
      <c r="P387" s="15"/>
      <c r="Q387" s="15"/>
      <c r="R387" s="15"/>
      <c r="V387" s="15"/>
    </row>
    <row r="388" spans="1:22" x14ac:dyDescent="0.4">
      <c r="A388" s="170" t="s">
        <v>41</v>
      </c>
      <c r="B388" s="3" t="s">
        <v>108</v>
      </c>
      <c r="C388" s="3" t="s">
        <v>2</v>
      </c>
      <c r="D388" s="171"/>
      <c r="E388" s="172"/>
      <c r="F388" s="173">
        <v>200</v>
      </c>
      <c r="G388" s="173">
        <v>200</v>
      </c>
      <c r="H388" s="173">
        <v>200</v>
      </c>
      <c r="I388" s="173"/>
      <c r="J388" s="173"/>
      <c r="K388" s="173"/>
      <c r="L388" s="15"/>
      <c r="M388" s="15"/>
      <c r="N388" s="15"/>
      <c r="O388" s="15"/>
      <c r="P388" s="15"/>
      <c r="Q388" s="15"/>
      <c r="R388" s="15"/>
      <c r="V388" s="15"/>
    </row>
    <row r="389" spans="1:22" x14ac:dyDescent="0.4">
      <c r="A389" s="170" t="s">
        <v>41</v>
      </c>
      <c r="B389" s="3" t="s">
        <v>109</v>
      </c>
      <c r="C389" s="3" t="s">
        <v>2</v>
      </c>
      <c r="D389" s="171"/>
      <c r="E389" s="172"/>
      <c r="F389" s="173">
        <v>200</v>
      </c>
      <c r="G389" s="173">
        <v>200</v>
      </c>
      <c r="H389" s="173">
        <v>200</v>
      </c>
      <c r="I389" s="173">
        <v>200</v>
      </c>
      <c r="J389" s="173"/>
      <c r="K389" s="173"/>
      <c r="L389" s="15"/>
      <c r="M389" s="15"/>
      <c r="N389" s="15"/>
      <c r="O389" s="15"/>
      <c r="P389" s="15"/>
      <c r="Q389" s="15"/>
      <c r="R389" s="15"/>
      <c r="V389" s="15"/>
    </row>
    <row r="390" spans="1:22" x14ac:dyDescent="0.4">
      <c r="A390" s="170" t="s">
        <v>41</v>
      </c>
      <c r="B390" s="3" t="s">
        <v>110</v>
      </c>
      <c r="C390" s="3" t="s">
        <v>2</v>
      </c>
      <c r="D390" s="171"/>
      <c r="E390" s="172"/>
      <c r="F390" s="173">
        <v>3200</v>
      </c>
      <c r="G390" s="173">
        <v>200</v>
      </c>
      <c r="H390" s="173">
        <v>200</v>
      </c>
      <c r="I390" s="173">
        <v>200</v>
      </c>
      <c r="J390" s="173">
        <v>3200</v>
      </c>
      <c r="K390" s="173"/>
      <c r="L390" s="15"/>
      <c r="M390" s="15"/>
      <c r="N390" s="15"/>
      <c r="O390" s="15"/>
      <c r="P390" s="15"/>
      <c r="Q390" s="15"/>
      <c r="R390" s="15"/>
      <c r="V390" s="15"/>
    </row>
    <row r="391" spans="1:22" x14ac:dyDescent="0.4">
      <c r="A391" s="170" t="s">
        <v>41</v>
      </c>
      <c r="B391" s="3" t="s">
        <v>108</v>
      </c>
      <c r="C391" s="3" t="s">
        <v>0</v>
      </c>
      <c r="D391" s="171"/>
      <c r="E391" s="172"/>
      <c r="F391" s="173">
        <v>200</v>
      </c>
      <c r="G391" s="173">
        <v>200</v>
      </c>
      <c r="H391" s="173">
        <v>200</v>
      </c>
      <c r="I391" s="173"/>
      <c r="J391" s="173"/>
      <c r="K391" s="173"/>
      <c r="L391" s="15"/>
      <c r="M391" s="15"/>
      <c r="N391" s="15"/>
      <c r="O391" s="15"/>
      <c r="P391" s="15"/>
      <c r="Q391" s="15"/>
      <c r="R391" s="15"/>
      <c r="V391" s="15"/>
    </row>
    <row r="392" spans="1:22" x14ac:dyDescent="0.4">
      <c r="A392" s="170" t="s">
        <v>41</v>
      </c>
      <c r="B392" s="3" t="s">
        <v>109</v>
      </c>
      <c r="C392" s="3" t="s">
        <v>0</v>
      </c>
      <c r="D392" s="171"/>
      <c r="E392" s="172"/>
      <c r="F392" s="173">
        <v>200</v>
      </c>
      <c r="G392" s="173">
        <v>200</v>
      </c>
      <c r="H392" s="173">
        <v>200</v>
      </c>
      <c r="I392" s="173">
        <v>200</v>
      </c>
      <c r="J392" s="173"/>
      <c r="K392" s="173"/>
      <c r="L392" s="15"/>
      <c r="M392" s="15"/>
      <c r="N392" s="15"/>
      <c r="O392" s="15"/>
      <c r="P392" s="15"/>
      <c r="Q392" s="15"/>
      <c r="R392" s="15"/>
      <c r="V392" s="15"/>
    </row>
    <row r="393" spans="1:22" x14ac:dyDescent="0.4">
      <c r="A393" s="170" t="s">
        <v>41</v>
      </c>
      <c r="B393" s="3" t="s">
        <v>110</v>
      </c>
      <c r="C393" s="3" t="s">
        <v>0</v>
      </c>
      <c r="D393" s="171"/>
      <c r="E393" s="172"/>
      <c r="F393" s="173">
        <v>4000</v>
      </c>
      <c r="G393" s="173">
        <v>200</v>
      </c>
      <c r="H393" s="173">
        <v>200</v>
      </c>
      <c r="I393" s="173">
        <v>200</v>
      </c>
      <c r="J393" s="173">
        <v>4000</v>
      </c>
      <c r="K393" s="173"/>
      <c r="L393" s="15"/>
      <c r="M393" s="15"/>
      <c r="N393" s="15"/>
      <c r="O393" s="15"/>
      <c r="P393" s="15"/>
      <c r="Q393" s="15"/>
      <c r="R393" s="15"/>
      <c r="V393" s="15"/>
    </row>
    <row r="394" spans="1:22" x14ac:dyDescent="0.4">
      <c r="A394" s="170" t="s">
        <v>44</v>
      </c>
      <c r="B394" s="3" t="s">
        <v>108</v>
      </c>
      <c r="C394" s="3" t="s">
        <v>2</v>
      </c>
      <c r="D394" s="171"/>
      <c r="E394" s="172" t="s">
        <v>461</v>
      </c>
      <c r="F394" s="194">
        <v>0</v>
      </c>
      <c r="G394" s="194">
        <v>0</v>
      </c>
      <c r="H394" s="194">
        <v>0</v>
      </c>
      <c r="I394" s="194"/>
      <c r="J394" s="194"/>
      <c r="K394" s="194">
        <v>0</v>
      </c>
      <c r="L394" s="15"/>
      <c r="M394" s="15"/>
      <c r="N394" s="15"/>
      <c r="O394" s="15"/>
      <c r="P394" s="15"/>
      <c r="Q394" s="15"/>
      <c r="R394" s="15"/>
      <c r="V394" s="15"/>
    </row>
    <row r="395" spans="1:22" x14ac:dyDescent="0.4">
      <c r="A395" s="170" t="s">
        <v>44</v>
      </c>
      <c r="B395" s="3" t="s">
        <v>109</v>
      </c>
      <c r="C395" s="3" t="s">
        <v>2</v>
      </c>
      <c r="D395" s="171"/>
      <c r="E395" s="172" t="s">
        <v>461</v>
      </c>
      <c r="F395" s="194">
        <v>419</v>
      </c>
      <c r="G395" s="194">
        <f>F395/2</f>
        <v>209.5</v>
      </c>
      <c r="H395" s="194">
        <v>0</v>
      </c>
      <c r="I395" s="194">
        <v>0</v>
      </c>
      <c r="J395" s="194"/>
      <c r="K395" s="194">
        <v>419</v>
      </c>
      <c r="L395" s="15"/>
      <c r="M395" s="15"/>
      <c r="N395" s="15"/>
      <c r="O395" s="15"/>
      <c r="P395" s="15"/>
      <c r="Q395" s="15"/>
      <c r="R395" s="15"/>
      <c r="V395" s="15"/>
    </row>
    <row r="396" spans="1:22" x14ac:dyDescent="0.4">
      <c r="A396" s="170" t="s">
        <v>44</v>
      </c>
      <c r="B396" s="3" t="s">
        <v>110</v>
      </c>
      <c r="C396" s="3" t="s">
        <v>2</v>
      </c>
      <c r="D396" s="171"/>
      <c r="E396" s="172" t="s">
        <v>461</v>
      </c>
      <c r="F396" s="194">
        <v>419</v>
      </c>
      <c r="G396" s="194">
        <f t="shared" ref="G396:G401" si="38">F396/2</f>
        <v>209.5</v>
      </c>
      <c r="H396" s="194">
        <v>0</v>
      </c>
      <c r="I396" s="194">
        <v>0</v>
      </c>
      <c r="J396" s="194">
        <v>0</v>
      </c>
      <c r="K396" s="194">
        <v>1528</v>
      </c>
      <c r="L396" s="15"/>
      <c r="M396" s="15"/>
      <c r="N396" s="15"/>
      <c r="O396" s="15"/>
      <c r="P396" s="15"/>
      <c r="Q396" s="15"/>
      <c r="R396" s="15"/>
      <c r="V396" s="15"/>
    </row>
    <row r="397" spans="1:22" x14ac:dyDescent="0.4">
      <c r="A397" s="170" t="s">
        <v>44</v>
      </c>
      <c r="B397" s="3" t="s">
        <v>110</v>
      </c>
      <c r="C397" s="3" t="s">
        <v>2</v>
      </c>
      <c r="D397" s="171" t="s">
        <v>5</v>
      </c>
      <c r="E397" s="172" t="s">
        <v>461</v>
      </c>
      <c r="F397" s="194">
        <v>3338</v>
      </c>
      <c r="G397" s="194">
        <f>F396</f>
        <v>419</v>
      </c>
      <c r="H397" s="194">
        <v>0</v>
      </c>
      <c r="I397" s="194">
        <v>0</v>
      </c>
      <c r="J397" s="194">
        <v>0</v>
      </c>
      <c r="K397" s="194">
        <v>3619</v>
      </c>
      <c r="L397" s="15"/>
      <c r="M397" s="15"/>
      <c r="N397" s="15"/>
      <c r="O397" s="15"/>
      <c r="P397" s="15"/>
      <c r="Q397" s="15"/>
      <c r="R397" s="15"/>
      <c r="V397" s="15"/>
    </row>
    <row r="398" spans="1:22" x14ac:dyDescent="0.4">
      <c r="A398" s="170" t="s">
        <v>44</v>
      </c>
      <c r="B398" s="3" t="s">
        <v>110</v>
      </c>
      <c r="C398" s="3" t="s">
        <v>2</v>
      </c>
      <c r="D398" s="171" t="s">
        <v>45</v>
      </c>
      <c r="E398" s="172" t="s">
        <v>461</v>
      </c>
      <c r="F398" s="194">
        <v>10301</v>
      </c>
      <c r="G398" s="194">
        <f>F396</f>
        <v>419</v>
      </c>
      <c r="H398" s="194">
        <v>0</v>
      </c>
      <c r="I398" s="194">
        <v>0</v>
      </c>
      <c r="J398" s="194">
        <v>0</v>
      </c>
      <c r="K398" s="194">
        <v>10555</v>
      </c>
      <c r="L398" s="15"/>
      <c r="M398" s="15"/>
      <c r="N398" s="15"/>
      <c r="O398" s="15"/>
      <c r="P398" s="15"/>
      <c r="Q398" s="15"/>
      <c r="R398" s="15"/>
      <c r="V398" s="15"/>
    </row>
    <row r="399" spans="1:22" x14ac:dyDescent="0.4">
      <c r="A399" s="170" t="s">
        <v>44</v>
      </c>
      <c r="B399" s="3" t="s">
        <v>108</v>
      </c>
      <c r="C399" s="3" t="s">
        <v>0</v>
      </c>
      <c r="D399" s="171"/>
      <c r="E399" s="172" t="s">
        <v>461</v>
      </c>
      <c r="F399" s="194">
        <v>0</v>
      </c>
      <c r="G399" s="194">
        <f t="shared" si="38"/>
        <v>0</v>
      </c>
      <c r="H399" s="194">
        <v>0</v>
      </c>
      <c r="I399" s="194"/>
      <c r="J399" s="194"/>
      <c r="K399" s="194">
        <v>0</v>
      </c>
      <c r="L399" s="15"/>
      <c r="M399" s="15"/>
      <c r="N399" s="15"/>
      <c r="O399" s="15"/>
      <c r="P399" s="15"/>
      <c r="Q399" s="15"/>
      <c r="R399" s="15"/>
      <c r="V399" s="15"/>
    </row>
    <row r="400" spans="1:22" x14ac:dyDescent="0.4">
      <c r="A400" s="170" t="s">
        <v>44</v>
      </c>
      <c r="B400" s="3" t="s">
        <v>109</v>
      </c>
      <c r="C400" s="3" t="s">
        <v>0</v>
      </c>
      <c r="D400" s="171"/>
      <c r="E400" s="172" t="s">
        <v>461</v>
      </c>
      <c r="F400" s="194">
        <v>419</v>
      </c>
      <c r="G400" s="194">
        <f t="shared" si="38"/>
        <v>209.5</v>
      </c>
      <c r="H400" s="194">
        <v>0</v>
      </c>
      <c r="I400" s="194">
        <v>0</v>
      </c>
      <c r="J400" s="194"/>
      <c r="K400" s="194">
        <v>833</v>
      </c>
      <c r="Q400" s="19"/>
    </row>
    <row r="401" spans="1:17" x14ac:dyDescent="0.4">
      <c r="A401" s="170" t="s">
        <v>44</v>
      </c>
      <c r="B401" s="3" t="s">
        <v>110</v>
      </c>
      <c r="C401" s="3" t="s">
        <v>0</v>
      </c>
      <c r="D401" s="171"/>
      <c r="E401" s="172" t="s">
        <v>461</v>
      </c>
      <c r="F401" s="194">
        <v>1593</v>
      </c>
      <c r="G401" s="194">
        <f t="shared" si="38"/>
        <v>796.5</v>
      </c>
      <c r="H401" s="194">
        <v>0</v>
      </c>
      <c r="I401" s="194">
        <v>0</v>
      </c>
      <c r="J401" s="194">
        <v>0</v>
      </c>
      <c r="K401" s="194">
        <v>2212</v>
      </c>
      <c r="Q401" s="19"/>
    </row>
    <row r="402" spans="1:17" x14ac:dyDescent="0.4">
      <c r="A402" s="170" t="s">
        <v>44</v>
      </c>
      <c r="B402" s="3" t="s">
        <v>110</v>
      </c>
      <c r="C402" s="3" t="s">
        <v>0</v>
      </c>
      <c r="D402" s="171" t="s">
        <v>5</v>
      </c>
      <c r="E402" s="172" t="s">
        <v>461</v>
      </c>
      <c r="F402" s="194">
        <v>11126</v>
      </c>
      <c r="G402" s="194">
        <f>F401</f>
        <v>1593</v>
      </c>
      <c r="H402" s="194">
        <v>0</v>
      </c>
      <c r="I402" s="194">
        <v>0</v>
      </c>
      <c r="J402" s="194">
        <v>0</v>
      </c>
      <c r="K402" s="194">
        <v>12065</v>
      </c>
      <c r="Q402" s="19"/>
    </row>
    <row r="403" spans="1:17" x14ac:dyDescent="0.4">
      <c r="A403" s="170" t="s">
        <v>44</v>
      </c>
      <c r="B403" s="3" t="s">
        <v>110</v>
      </c>
      <c r="C403" s="3" t="s">
        <v>0</v>
      </c>
      <c r="D403" s="171" t="s">
        <v>45</v>
      </c>
      <c r="E403" s="172" t="s">
        <v>461</v>
      </c>
      <c r="F403" s="194">
        <v>40173</v>
      </c>
      <c r="G403" s="194">
        <f>F401</f>
        <v>1593</v>
      </c>
      <c r="H403" s="194">
        <v>0</v>
      </c>
      <c r="I403" s="194">
        <v>0</v>
      </c>
      <c r="J403" s="194">
        <v>0</v>
      </c>
      <c r="K403" s="194">
        <v>35184</v>
      </c>
    </row>
    <row r="404" spans="1:17" x14ac:dyDescent="0.4">
      <c r="A404" s="170" t="s">
        <v>137</v>
      </c>
      <c r="B404" s="3" t="s">
        <v>108</v>
      </c>
      <c r="C404" s="3" t="s">
        <v>0</v>
      </c>
      <c r="D404" s="171"/>
      <c r="E404" s="172" t="s">
        <v>146</v>
      </c>
      <c r="F404" s="176">
        <v>20000</v>
      </c>
      <c r="G404" s="176">
        <v>20000</v>
      </c>
      <c r="H404" s="176">
        <v>20000</v>
      </c>
      <c r="I404" s="176"/>
      <c r="J404" s="176"/>
      <c r="K404" s="176"/>
    </row>
    <row r="405" spans="1:17" x14ac:dyDescent="0.4">
      <c r="A405" s="170" t="s">
        <v>137</v>
      </c>
      <c r="B405" s="3" t="s">
        <v>109</v>
      </c>
      <c r="C405" s="3" t="s">
        <v>0</v>
      </c>
      <c r="D405" s="171"/>
      <c r="E405" s="172" t="s">
        <v>146</v>
      </c>
      <c r="F405" s="176">
        <v>20000</v>
      </c>
      <c r="G405" s="176">
        <v>20000</v>
      </c>
      <c r="H405" s="176">
        <v>20000</v>
      </c>
      <c r="I405" s="176">
        <v>20000</v>
      </c>
      <c r="J405" s="176"/>
      <c r="K405" s="176"/>
    </row>
    <row r="406" spans="1:17" x14ac:dyDescent="0.4">
      <c r="A406" s="170" t="s">
        <v>137</v>
      </c>
      <c r="B406" s="3" t="s">
        <v>110</v>
      </c>
      <c r="C406" s="3" t="s">
        <v>0</v>
      </c>
      <c r="D406" s="171"/>
      <c r="E406" s="172" t="s">
        <v>147</v>
      </c>
      <c r="F406" s="176">
        <v>47000</v>
      </c>
      <c r="G406" s="176">
        <v>47000</v>
      </c>
      <c r="H406" s="176">
        <v>20000</v>
      </c>
      <c r="I406" s="176">
        <v>20000</v>
      </c>
      <c r="J406" s="176">
        <v>47000</v>
      </c>
      <c r="K406" s="176"/>
    </row>
    <row r="407" spans="1:17" x14ac:dyDescent="0.4">
      <c r="A407" s="195" t="s">
        <v>399</v>
      </c>
      <c r="B407" s="196" t="s">
        <v>108</v>
      </c>
      <c r="C407" s="3" t="s">
        <v>0</v>
      </c>
      <c r="D407" s="176"/>
      <c r="E407" s="172" t="s">
        <v>407</v>
      </c>
      <c r="F407" s="197">
        <v>200</v>
      </c>
      <c r="G407" s="197">
        <f>F407*0.2</f>
        <v>40</v>
      </c>
      <c r="H407" s="197">
        <v>200</v>
      </c>
      <c r="I407" s="197"/>
      <c r="J407" s="197"/>
      <c r="K407" s="197"/>
    </row>
    <row r="408" spans="1:17" x14ac:dyDescent="0.4">
      <c r="A408" s="198" t="s">
        <v>399</v>
      </c>
      <c r="B408" s="196" t="s">
        <v>109</v>
      </c>
      <c r="C408" s="3" t="s">
        <v>0</v>
      </c>
      <c r="D408" s="176"/>
      <c r="E408" s="172" t="s">
        <v>406</v>
      </c>
      <c r="F408" s="197">
        <v>750</v>
      </c>
      <c r="G408" s="197">
        <f t="shared" ref="G408:G414" si="39">F408*0.2</f>
        <v>150</v>
      </c>
      <c r="H408" s="197">
        <v>200</v>
      </c>
      <c r="I408" s="197">
        <v>750</v>
      </c>
      <c r="J408" s="197"/>
      <c r="K408" s="197"/>
    </row>
    <row r="409" spans="1:17" x14ac:dyDescent="0.4">
      <c r="A409" s="198" t="s">
        <v>399</v>
      </c>
      <c r="B409" s="196" t="s">
        <v>110</v>
      </c>
      <c r="C409" s="3" t="s">
        <v>0</v>
      </c>
      <c r="D409" s="176" t="s">
        <v>408</v>
      </c>
      <c r="E409" s="172" t="s">
        <v>401</v>
      </c>
      <c r="F409" s="197">
        <v>25000</v>
      </c>
      <c r="G409" s="197">
        <f t="shared" si="39"/>
        <v>5000</v>
      </c>
      <c r="H409" s="197">
        <v>200</v>
      </c>
      <c r="I409" s="197">
        <v>750</v>
      </c>
      <c r="J409" s="197">
        <v>25000</v>
      </c>
      <c r="K409" s="197"/>
    </row>
    <row r="410" spans="1:17" x14ac:dyDescent="0.4">
      <c r="A410" s="198" t="s">
        <v>399</v>
      </c>
      <c r="B410" s="196" t="s">
        <v>110</v>
      </c>
      <c r="C410" s="3" t="s">
        <v>0</v>
      </c>
      <c r="D410" s="176" t="s">
        <v>409</v>
      </c>
      <c r="E410" s="172" t="s">
        <v>402</v>
      </c>
      <c r="F410" s="197">
        <v>10000</v>
      </c>
      <c r="G410" s="197">
        <f t="shared" si="39"/>
        <v>2000</v>
      </c>
      <c r="H410" s="197">
        <v>200</v>
      </c>
      <c r="I410" s="197">
        <v>750</v>
      </c>
      <c r="J410" s="197">
        <v>10000</v>
      </c>
      <c r="K410" s="197"/>
    </row>
    <row r="411" spans="1:17" x14ac:dyDescent="0.4">
      <c r="A411" s="198" t="s">
        <v>399</v>
      </c>
      <c r="B411" s="196" t="s">
        <v>110</v>
      </c>
      <c r="C411" s="3" t="s">
        <v>0</v>
      </c>
      <c r="D411" s="176" t="s">
        <v>410</v>
      </c>
      <c r="E411" s="172" t="s">
        <v>403</v>
      </c>
      <c r="F411" s="197">
        <v>4000</v>
      </c>
      <c r="G411" s="197">
        <f t="shared" si="39"/>
        <v>800</v>
      </c>
      <c r="H411" s="197">
        <v>200</v>
      </c>
      <c r="I411" s="197">
        <v>750</v>
      </c>
      <c r="J411" s="197">
        <v>4000</v>
      </c>
      <c r="K411" s="197"/>
    </row>
    <row r="412" spans="1:17" x14ac:dyDescent="0.4">
      <c r="A412" s="198" t="s">
        <v>399</v>
      </c>
      <c r="B412" s="196" t="s">
        <v>110</v>
      </c>
      <c r="C412" s="3" t="s">
        <v>0</v>
      </c>
      <c r="D412" s="176" t="s">
        <v>411</v>
      </c>
      <c r="E412" s="172" t="s">
        <v>404</v>
      </c>
      <c r="F412" s="197">
        <v>3500</v>
      </c>
      <c r="G412" s="197">
        <f t="shared" si="39"/>
        <v>700</v>
      </c>
      <c r="H412" s="197">
        <v>200</v>
      </c>
      <c r="I412" s="197">
        <v>750</v>
      </c>
      <c r="J412" s="197">
        <v>3500</v>
      </c>
      <c r="K412" s="197"/>
    </row>
    <row r="413" spans="1:17" x14ac:dyDescent="0.4">
      <c r="A413" s="198" t="s">
        <v>399</v>
      </c>
      <c r="B413" s="196" t="s">
        <v>110</v>
      </c>
      <c r="C413" s="3" t="s">
        <v>0</v>
      </c>
      <c r="D413" s="176" t="s">
        <v>412</v>
      </c>
      <c r="E413" s="172" t="s">
        <v>405</v>
      </c>
      <c r="F413" s="197">
        <v>5000</v>
      </c>
      <c r="G413" s="197">
        <f t="shared" si="39"/>
        <v>1000</v>
      </c>
      <c r="H413" s="197">
        <v>200</v>
      </c>
      <c r="I413" s="197">
        <v>750</v>
      </c>
      <c r="J413" s="197">
        <v>5000</v>
      </c>
      <c r="K413" s="197"/>
    </row>
    <row r="414" spans="1:17" x14ac:dyDescent="0.4">
      <c r="A414" s="198" t="s">
        <v>399</v>
      </c>
      <c r="B414" s="196" t="s">
        <v>110</v>
      </c>
      <c r="C414" s="3" t="s">
        <v>0</v>
      </c>
      <c r="D414" s="176" t="s">
        <v>413</v>
      </c>
      <c r="E414" s="172" t="s">
        <v>405</v>
      </c>
      <c r="F414" s="197">
        <v>5000</v>
      </c>
      <c r="G414" s="197">
        <f t="shared" si="39"/>
        <v>1000</v>
      </c>
      <c r="H414" s="197">
        <v>200</v>
      </c>
      <c r="I414" s="197">
        <v>750</v>
      </c>
      <c r="J414" s="197">
        <v>5000</v>
      </c>
      <c r="K414" s="197"/>
    </row>
    <row r="415" spans="1:17" x14ac:dyDescent="0.4">
      <c r="A415" s="195" t="s">
        <v>416</v>
      </c>
      <c r="B415" s="196" t="s">
        <v>108</v>
      </c>
      <c r="C415" s="196" t="s">
        <v>415</v>
      </c>
      <c r="D415" s="176"/>
      <c r="E415" s="172"/>
      <c r="F415" s="173">
        <v>0</v>
      </c>
      <c r="G415" s="173">
        <v>0</v>
      </c>
      <c r="H415" s="173">
        <f>F415</f>
        <v>0</v>
      </c>
      <c r="I415" s="173"/>
      <c r="J415" s="173"/>
      <c r="K415" s="173"/>
    </row>
    <row r="416" spans="1:17" x14ac:dyDescent="0.4">
      <c r="A416" s="198" t="s">
        <v>416</v>
      </c>
      <c r="B416" s="196" t="s">
        <v>109</v>
      </c>
      <c r="C416" s="196" t="s">
        <v>415</v>
      </c>
      <c r="D416" s="176"/>
      <c r="E416" s="172"/>
      <c r="F416" s="173">
        <v>0</v>
      </c>
      <c r="G416" s="173">
        <v>0</v>
      </c>
      <c r="H416" s="173">
        <f>F415</f>
        <v>0</v>
      </c>
      <c r="I416" s="173">
        <f>F416</f>
        <v>0</v>
      </c>
      <c r="J416" s="173"/>
      <c r="K416" s="173"/>
    </row>
    <row r="417" spans="1:11" x14ac:dyDescent="0.4">
      <c r="A417" s="195" t="s">
        <v>416</v>
      </c>
      <c r="B417" s="196" t="s">
        <v>110</v>
      </c>
      <c r="C417" s="196" t="s">
        <v>415</v>
      </c>
      <c r="D417" s="176" t="s">
        <v>726</v>
      </c>
      <c r="E417" s="172" t="s">
        <v>401</v>
      </c>
      <c r="F417" s="173">
        <v>163200</v>
      </c>
      <c r="G417" s="173">
        <v>0</v>
      </c>
      <c r="H417" s="173">
        <f>F415</f>
        <v>0</v>
      </c>
      <c r="I417" s="173">
        <f>F416</f>
        <v>0</v>
      </c>
      <c r="J417" s="173">
        <f>F418</f>
        <v>22000</v>
      </c>
      <c r="K417" s="173"/>
    </row>
    <row r="418" spans="1:11" x14ac:dyDescent="0.4">
      <c r="A418" s="198" t="s">
        <v>416</v>
      </c>
      <c r="B418" s="196" t="s">
        <v>110</v>
      </c>
      <c r="C418" s="196" t="s">
        <v>415</v>
      </c>
      <c r="D418" s="176" t="s">
        <v>727</v>
      </c>
      <c r="E418" s="172" t="s">
        <v>402</v>
      </c>
      <c r="F418" s="173">
        <v>22000</v>
      </c>
      <c r="G418" s="173">
        <v>0</v>
      </c>
      <c r="H418" s="173">
        <f>F415</f>
        <v>0</v>
      </c>
      <c r="I418" s="173">
        <f>F416</f>
        <v>0</v>
      </c>
      <c r="J418" s="173">
        <f>Tabelle4[[#This Row],[1st strength]]</f>
        <v>22000</v>
      </c>
      <c r="K418" s="173"/>
    </row>
  </sheetData>
  <sheetProtection algorithmName="SHA-512" hashValue="QFQH+BVvcl15PrmiGNimXTqpfybI6wbCtKeCWZgiLBRXEotkDJNns1UYfke/jMkkqV4MYnu1RlGVVf2IVK3Fhg==" saltValue="Kn+9uqjFeyNdyFaWAJNITw==" spinCount="100000" sheet="1" selectLockedCells="1" autoFilter="0" selectUnlockedCells="1"/>
  <phoneticPr fontId="4" type="noConversion"/>
  <hyperlinks>
    <hyperlink ref="D230" location="IE!A1" display="complex - reduced rate" xr:uid="{00000000-0004-0000-0100-000000000000}"/>
    <hyperlink ref="D228" location="IE!A1" display="standard - reduced rate" xr:uid="{00000000-0004-0000-0100-000001000000}"/>
    <hyperlink ref="D226" location="IE!A1" display="reduced rate" xr:uid="{00000000-0004-0000-0100-000002000000}"/>
    <hyperlink ref="D223" location="IE!A1" display="complex - reduced rate" xr:uid="{00000000-0004-0000-0100-000003000000}"/>
    <hyperlink ref="D221" location="IE!A1" display="standard - reduced rate" xr:uid="{00000000-0004-0000-0100-000004000000}"/>
    <hyperlink ref="D219" location="IE!A1" display="reduced rate" xr:uid="{00000000-0004-0000-0100-000005000000}"/>
    <hyperlink ref="D229" location="IE!A1" display="complex" xr:uid="{00000000-0004-0000-0100-000006000000}"/>
    <hyperlink ref="D222" location="IE!A1" display="complex" xr:uid="{00000000-0004-0000-0100-000007000000}"/>
    <hyperlink ref="D336" location="'PL - exemptions'!A1" display="if CMS is not concerned" xr:uid="{00000000-0004-0000-0100-000008000000}"/>
    <hyperlink ref="D330" location="'PL - exemptions'!A1" display="TSE CEP &amp; others" xr:uid="{00000000-0004-0000-0100-000009000000}"/>
    <hyperlink ref="D339" location="'PL - exemptions'!A1" display="TSE CEP &amp; others" xr:uid="{00000000-0004-0000-0100-00000A000000}"/>
    <hyperlink ref="D334" location="'PL - exemptions'!A1" display="TSE CEP &amp; others" xr:uid="{00000000-0004-0000-0100-00000B000000}"/>
    <hyperlink ref="D112" location="'DK - complex variations'!A1" display="quality, simple (class. &quot;B&quot; or &quot;D&quot;)" xr:uid="{00000000-0004-0000-0100-00000C000000}"/>
    <hyperlink ref="D108" location="'DK - complex variations'!A1" display="quality, simple (class. &quot;B&quot; or &quot;D&quot;)" xr:uid="{00000000-0004-0000-0100-00000D000000}"/>
    <hyperlink ref="D101" location="'DK - complex variations'!A1" display="quality, simple (class. &quot;B&quot; or &quot;D&quot;)" xr:uid="{00000000-0004-0000-0100-00000E000000}"/>
    <hyperlink ref="D97" location="'DK - complex variations'!A1" display="quality, simple (class. &quot;B&quot; or &quot;D&quot;)" xr:uid="{00000000-0004-0000-0100-00000F000000}"/>
    <hyperlink ref="D90" location="'DK - complex variations'!A1" display="quality, simple (class. &quot;B&quot; or &quot;D&quot;)" xr:uid="{00000000-0004-0000-0100-000010000000}"/>
    <hyperlink ref="D86" location="'DK - complex variations'!A1" display="quality, simple (class. &quot;B&quot; or &quot;D&quot;)" xr:uid="{00000000-0004-0000-0100-000011000000}"/>
    <hyperlink ref="D271" location="'LT - Type II exemptions'!A1" display="new indication (and others)" xr:uid="{00000000-0004-0000-0100-000012000000}"/>
    <hyperlink ref="D267" location="'LT - Type II exemptions'!A1" display="new indication (and others)" xr:uid="{00000000-0004-0000-0100-000013000000}"/>
    <hyperlink ref="D263" location="'LT - Type II exemptions'!A1" display="new indication (and others)" xr:uid="{00000000-0004-0000-0100-000014000000}"/>
    <hyperlink ref="D187" location="'FR - Type IA exemptions'!A1" display="Type IA exemptions" xr:uid="{00000000-0004-0000-0100-000015000000}"/>
    <hyperlink ref="D182" location="'FR - Type IA exemptions'!A1" display="Type IA exemptions" xr:uid="{00000000-0004-0000-0100-000016000000}"/>
    <hyperlink ref="D177" location="'FR - Type IA exemptions'!A1" display="Type IA exemptions" xr:uid="{00000000-0004-0000-0100-000017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4" tint="-0.249977111117893"/>
  </sheetPr>
  <dimension ref="A1:L169"/>
  <sheetViews>
    <sheetView workbookViewId="0">
      <selection activeCell="D5" sqref="D5"/>
    </sheetView>
  </sheetViews>
  <sheetFormatPr baseColWidth="10" defaultColWidth="11.53515625" defaultRowHeight="14.6" x14ac:dyDescent="0.4"/>
  <cols>
    <col min="1" max="1" width="12.3046875" customWidth="1"/>
    <col min="2" max="2" width="25.4609375" customWidth="1"/>
    <col min="3" max="3" width="15.3046875" customWidth="1"/>
    <col min="4" max="6" width="11.53515625" style="206"/>
    <col min="7" max="7" width="40.15234375" style="206" hidden="1" customWidth="1"/>
    <col min="8" max="8" width="11.53515625" style="206" hidden="1" customWidth="1"/>
    <col min="9" max="9" width="15.69140625" style="206" hidden="1" customWidth="1"/>
    <col min="10" max="10" width="11.53515625" style="206" hidden="1" customWidth="1"/>
    <col min="11" max="12" width="11.53515625" style="206"/>
  </cols>
  <sheetData>
    <row r="1" spans="1:10" x14ac:dyDescent="0.4">
      <c r="A1" s="199" t="s">
        <v>227</v>
      </c>
      <c r="B1" s="200" t="s">
        <v>228</v>
      </c>
      <c r="C1" s="201" t="s">
        <v>11</v>
      </c>
      <c r="G1" s="206" t="s">
        <v>538</v>
      </c>
    </row>
    <row r="2" spans="1:10" x14ac:dyDescent="0.4">
      <c r="A2" s="130" t="s">
        <v>13</v>
      </c>
      <c r="B2" s="132">
        <f>I42</f>
        <v>24.27693</v>
      </c>
      <c r="C2" s="131">
        <v>46071</v>
      </c>
    </row>
    <row r="3" spans="1:10" x14ac:dyDescent="0.4">
      <c r="A3" s="130" t="s">
        <v>14</v>
      </c>
      <c r="B3" s="133">
        <f>I44</f>
        <v>7.4798499999999999</v>
      </c>
      <c r="C3" s="131">
        <v>46071</v>
      </c>
      <c r="G3" s="206" t="s">
        <v>539</v>
      </c>
      <c r="H3" s="206" t="s">
        <v>540</v>
      </c>
      <c r="I3" s="206" t="s">
        <v>541</v>
      </c>
      <c r="J3" s="206" t="s">
        <v>542</v>
      </c>
    </row>
    <row r="4" spans="1:10" ht="15.9" x14ac:dyDescent="0.45">
      <c r="A4" s="130" t="s">
        <v>24</v>
      </c>
      <c r="B4" s="134">
        <v>395.12</v>
      </c>
      <c r="C4" s="131">
        <v>46071</v>
      </c>
      <c r="G4" s="210" t="s">
        <v>731</v>
      </c>
      <c r="H4" s="210" t="s">
        <v>543</v>
      </c>
      <c r="I4" s="211">
        <v>4.30837</v>
      </c>
      <c r="J4" s="210">
        <v>0.23418</v>
      </c>
    </row>
    <row r="5" spans="1:10" ht="15.9" x14ac:dyDescent="0.45">
      <c r="A5" s="130" t="s">
        <v>25</v>
      </c>
      <c r="B5" s="135">
        <f>I72</f>
        <v>145.00587999999999</v>
      </c>
      <c r="C5" s="131">
        <v>46071</v>
      </c>
      <c r="G5" s="210" t="s">
        <v>732</v>
      </c>
      <c r="H5" s="210" t="s">
        <v>544</v>
      </c>
      <c r="I5" s="213" t="s">
        <v>902</v>
      </c>
      <c r="J5" s="210">
        <v>1.2460000000000001E-2</v>
      </c>
    </row>
    <row r="6" spans="1:10" ht="15.9" x14ac:dyDescent="0.45">
      <c r="A6" s="130" t="s">
        <v>35</v>
      </c>
      <c r="B6" s="136">
        <v>11.31</v>
      </c>
      <c r="C6" s="131">
        <v>46071</v>
      </c>
      <c r="G6" s="210" t="s">
        <v>733</v>
      </c>
      <c r="H6" s="210" t="s">
        <v>545</v>
      </c>
      <c r="I6" s="213" t="s">
        <v>903</v>
      </c>
      <c r="J6" s="210">
        <v>1.0290000000000001E-2</v>
      </c>
    </row>
    <row r="7" spans="1:10" ht="15.9" x14ac:dyDescent="0.45">
      <c r="A7" s="130" t="s">
        <v>37</v>
      </c>
      <c r="B7" s="137">
        <f>I120</f>
        <v>4.2184400000000002</v>
      </c>
      <c r="C7" s="131">
        <v>46071</v>
      </c>
      <c r="G7" s="210" t="s">
        <v>734</v>
      </c>
      <c r="H7" s="210" t="s">
        <v>546</v>
      </c>
      <c r="I7" s="213" t="s">
        <v>904</v>
      </c>
      <c r="J7" s="210">
        <v>2.2399999999999998E-3</v>
      </c>
    </row>
    <row r="8" spans="1:10" ht="15.9" x14ac:dyDescent="0.45">
      <c r="A8" s="130" t="s">
        <v>43</v>
      </c>
      <c r="B8" s="138">
        <f>I131</f>
        <v>10.621650000000001</v>
      </c>
      <c r="C8" s="131">
        <v>46071</v>
      </c>
      <c r="G8" s="210" t="s">
        <v>735</v>
      </c>
      <c r="H8" s="210" t="s">
        <v>547</v>
      </c>
      <c r="I8" s="213" t="s">
        <v>905</v>
      </c>
      <c r="J8" s="210">
        <v>0.48053000000000001</v>
      </c>
    </row>
    <row r="9" spans="1:10" ht="15.9" x14ac:dyDescent="0.45">
      <c r="A9" s="130" t="s">
        <v>42</v>
      </c>
      <c r="B9" s="139">
        <v>5.8</v>
      </c>
      <c r="C9" s="131">
        <v>46071</v>
      </c>
      <c r="G9" s="210" t="s">
        <v>736</v>
      </c>
      <c r="H9" s="210" t="s">
        <v>548</v>
      </c>
      <c r="I9" s="213" t="s">
        <v>906</v>
      </c>
      <c r="J9" s="210">
        <v>9.3999999999999997E-4</v>
      </c>
    </row>
    <row r="10" spans="1:10" ht="15.9" x14ac:dyDescent="0.45">
      <c r="A10" s="130" t="s">
        <v>44</v>
      </c>
      <c r="B10" s="140">
        <f>I52</f>
        <v>0.87378999999999996</v>
      </c>
      <c r="C10" s="131">
        <v>46071</v>
      </c>
      <c r="G10" s="210" t="s">
        <v>737</v>
      </c>
      <c r="H10" s="210" t="s">
        <v>549</v>
      </c>
      <c r="I10" s="213" t="s">
        <v>907</v>
      </c>
      <c r="J10" s="210">
        <v>6.8000000000000005E-4</v>
      </c>
    </row>
    <row r="11" spans="1:10" ht="15.9" x14ac:dyDescent="0.45">
      <c r="A11" s="130" t="s">
        <v>137</v>
      </c>
      <c r="B11" s="141">
        <f>I124</f>
        <v>117.37582999999999</v>
      </c>
      <c r="C11" s="131">
        <v>46071</v>
      </c>
      <c r="G11" s="210" t="s">
        <v>738</v>
      </c>
      <c r="H11" s="210" t="s">
        <v>550</v>
      </c>
      <c r="I11" s="213" t="s">
        <v>908</v>
      </c>
      <c r="J11" s="210">
        <v>0.56047999999999998</v>
      </c>
    </row>
    <row r="12" spans="1:10" ht="15.9" x14ac:dyDescent="0.45">
      <c r="A12" s="142" t="s">
        <v>399</v>
      </c>
      <c r="B12" s="143">
        <f>I33</f>
        <v>0.91264999999999996</v>
      </c>
      <c r="C12" s="131">
        <v>46071</v>
      </c>
      <c r="G12" s="210" t="s">
        <v>739</v>
      </c>
      <c r="H12" s="210" t="s">
        <v>551</v>
      </c>
      <c r="I12" s="213" t="s">
        <v>909</v>
      </c>
      <c r="J12" s="210">
        <v>0.47777999999999998</v>
      </c>
    </row>
    <row r="13" spans="1:10" ht="15.9" x14ac:dyDescent="0.45">
      <c r="G13" s="210" t="s">
        <v>740</v>
      </c>
      <c r="H13" s="210" t="s">
        <v>552</v>
      </c>
      <c r="I13" s="213" t="s">
        <v>910</v>
      </c>
      <c r="J13" s="210">
        <v>0.50671999999999995</v>
      </c>
    </row>
    <row r="14" spans="1:10" ht="15.9" x14ac:dyDescent="0.45">
      <c r="A14" s="144" t="s">
        <v>536</v>
      </c>
      <c r="G14" s="210" t="s">
        <v>741</v>
      </c>
      <c r="H14" s="210" t="s">
        <v>553</v>
      </c>
      <c r="I14" s="213" t="s">
        <v>911</v>
      </c>
      <c r="J14" s="210">
        <v>0.51073000000000002</v>
      </c>
    </row>
    <row r="15" spans="1:10" ht="15.9" x14ac:dyDescent="0.45">
      <c r="A15" s="144" t="s">
        <v>537</v>
      </c>
      <c r="G15" s="210" t="s">
        <v>742</v>
      </c>
      <c r="H15" s="210" t="s">
        <v>554</v>
      </c>
      <c r="I15" s="213" t="s">
        <v>912</v>
      </c>
      <c r="J15" s="210">
        <v>0.42584</v>
      </c>
    </row>
    <row r="16" spans="1:10" ht="15.9" x14ac:dyDescent="0.45">
      <c r="G16" s="210" t="s">
        <v>743</v>
      </c>
      <c r="H16" s="210" t="s">
        <v>555</v>
      </c>
      <c r="I16" s="213" t="s">
        <v>913</v>
      </c>
      <c r="J16" s="210">
        <v>7.0899999999999999E-3</v>
      </c>
    </row>
    <row r="17" spans="7:10" ht="15.9" x14ac:dyDescent="0.45">
      <c r="G17" s="210" t="s">
        <v>744</v>
      </c>
      <c r="H17" s="210" t="s">
        <v>556</v>
      </c>
      <c r="I17" s="213" t="s">
        <v>914</v>
      </c>
      <c r="J17" s="210">
        <v>0.51171</v>
      </c>
    </row>
    <row r="18" spans="7:10" ht="15.9" x14ac:dyDescent="0.45">
      <c r="G18" s="210" t="s">
        <v>745</v>
      </c>
      <c r="H18" s="210" t="s">
        <v>557</v>
      </c>
      <c r="I18" s="213" t="s">
        <v>915</v>
      </c>
      <c r="J18" s="210">
        <v>2.2812899999999998</v>
      </c>
    </row>
    <row r="19" spans="7:10" ht="15.9" x14ac:dyDescent="0.45">
      <c r="G19" s="210" t="s">
        <v>746</v>
      </c>
      <c r="H19" s="210" t="s">
        <v>558</v>
      </c>
      <c r="I19" s="213" t="s">
        <v>916</v>
      </c>
      <c r="J19" s="210">
        <v>2.9E-4</v>
      </c>
    </row>
    <row r="20" spans="7:10" ht="15.9" x14ac:dyDescent="0.45">
      <c r="G20" s="210" t="s">
        <v>747</v>
      </c>
      <c r="H20" s="210" t="s">
        <v>559</v>
      </c>
      <c r="I20" s="213" t="s">
        <v>917</v>
      </c>
      <c r="J20" s="210">
        <v>0.86001000000000005</v>
      </c>
    </row>
    <row r="21" spans="7:10" ht="15.9" x14ac:dyDescent="0.45">
      <c r="G21" s="210" t="s">
        <v>748</v>
      </c>
      <c r="H21" s="210" t="s">
        <v>560</v>
      </c>
      <c r="I21" s="213" t="s">
        <v>918</v>
      </c>
      <c r="J21" s="210">
        <v>0.66937000000000002</v>
      </c>
    </row>
    <row r="22" spans="7:10" ht="15.9" x14ac:dyDescent="0.45">
      <c r="G22" s="210" t="s">
        <v>749</v>
      </c>
      <c r="H22" s="210" t="s">
        <v>561</v>
      </c>
      <c r="I22" s="213" t="s">
        <v>919</v>
      </c>
      <c r="J22" s="210">
        <v>0.12443</v>
      </c>
    </row>
    <row r="23" spans="7:10" ht="15.9" x14ac:dyDescent="0.45">
      <c r="G23" s="210" t="s">
        <v>750</v>
      </c>
      <c r="H23" s="210" t="s">
        <v>562</v>
      </c>
      <c r="I23" s="213" t="s">
        <v>920</v>
      </c>
      <c r="J23" s="210">
        <v>0.15443999999999999</v>
      </c>
    </row>
    <row r="24" spans="7:10" ht="15.9" x14ac:dyDescent="0.45">
      <c r="G24" s="210" t="s">
        <v>751</v>
      </c>
      <c r="H24" s="210" t="s">
        <v>563</v>
      </c>
      <c r="I24" s="213" t="s">
        <v>921</v>
      </c>
      <c r="J24" s="210">
        <v>0.85985</v>
      </c>
    </row>
    <row r="25" spans="7:10" ht="15.9" x14ac:dyDescent="0.45">
      <c r="G25" s="210" t="s">
        <v>752</v>
      </c>
      <c r="H25" s="210" t="s">
        <v>564</v>
      </c>
      <c r="I25" s="213" t="s">
        <v>922</v>
      </c>
      <c r="J25" s="211">
        <v>102257.39331</v>
      </c>
    </row>
    <row r="26" spans="7:10" ht="15.9" x14ac:dyDescent="0.45">
      <c r="G26" s="210" t="s">
        <v>753</v>
      </c>
      <c r="H26" s="210" t="s">
        <v>565</v>
      </c>
      <c r="I26" s="213" t="s">
        <v>923</v>
      </c>
      <c r="J26" s="210">
        <v>1.001E-2</v>
      </c>
    </row>
    <row r="27" spans="7:10" ht="15.9" x14ac:dyDescent="0.45">
      <c r="G27" s="210" t="s">
        <v>754</v>
      </c>
      <c r="H27" s="210" t="s">
        <v>566</v>
      </c>
      <c r="I27" s="213" t="s">
        <v>924</v>
      </c>
      <c r="J27" s="210">
        <v>6.3659999999999994E-2</v>
      </c>
    </row>
    <row r="28" spans="7:10" ht="15.9" x14ac:dyDescent="0.45">
      <c r="G28" s="210" t="s">
        <v>755</v>
      </c>
      <c r="H28" s="210" t="s">
        <v>567</v>
      </c>
      <c r="I28" s="213" t="s">
        <v>925</v>
      </c>
      <c r="J28" s="210">
        <v>0.26273999999999997</v>
      </c>
    </row>
    <row r="29" spans="7:10" ht="15.9" x14ac:dyDescent="0.45">
      <c r="G29" s="210" t="s">
        <v>756</v>
      </c>
      <c r="H29" s="210" t="s">
        <v>568</v>
      </c>
      <c r="I29" s="213" t="s">
        <v>926</v>
      </c>
      <c r="J29" s="210">
        <v>4.0000000000000003E-5</v>
      </c>
    </row>
    <row r="30" spans="7:10" ht="15.9" x14ac:dyDescent="0.45">
      <c r="G30" s="210" t="s">
        <v>757</v>
      </c>
      <c r="H30" s="210" t="s">
        <v>569</v>
      </c>
      <c r="I30" s="213" t="s">
        <v>927</v>
      </c>
      <c r="J30" s="210">
        <v>0.42803999999999998</v>
      </c>
    </row>
    <row r="31" spans="7:10" ht="15.9" x14ac:dyDescent="0.45">
      <c r="G31" s="210" t="s">
        <v>758</v>
      </c>
      <c r="H31" s="210" t="s">
        <v>570</v>
      </c>
      <c r="I31" s="213" t="s">
        <v>928</v>
      </c>
      <c r="J31" s="210">
        <v>0.62787000000000004</v>
      </c>
    </row>
    <row r="32" spans="7:10" ht="15.9" x14ac:dyDescent="0.45">
      <c r="G32" s="210" t="s">
        <v>759</v>
      </c>
      <c r="H32" s="210" t="s">
        <v>571</v>
      </c>
      <c r="I32" s="213" t="s">
        <v>929</v>
      </c>
      <c r="J32" s="210">
        <v>2.9999999999999997E-4</v>
      </c>
    </row>
    <row r="33" spans="7:10" ht="15.9" x14ac:dyDescent="0.45">
      <c r="G33" s="210" t="s">
        <v>760</v>
      </c>
      <c r="H33" s="210" t="s">
        <v>572</v>
      </c>
      <c r="I33" s="213">
        <v>0.91264999999999996</v>
      </c>
      <c r="J33" s="210">
        <v>1.07298</v>
      </c>
    </row>
    <row r="34" spans="7:10" ht="15.9" x14ac:dyDescent="0.45">
      <c r="G34" s="210" t="s">
        <v>761</v>
      </c>
      <c r="H34" s="210" t="s">
        <v>573</v>
      </c>
      <c r="I34" s="213" t="s">
        <v>930</v>
      </c>
      <c r="J34" s="210">
        <v>34.095950000000002</v>
      </c>
    </row>
    <row r="35" spans="7:10" ht="15.9" x14ac:dyDescent="0.45">
      <c r="G35" s="210" t="s">
        <v>762</v>
      </c>
      <c r="H35" s="210" t="s">
        <v>574</v>
      </c>
      <c r="I35" s="213" t="s">
        <v>931</v>
      </c>
      <c r="J35" s="210">
        <v>8.8999999999999995E-4</v>
      </c>
    </row>
    <row r="36" spans="7:10" ht="15.9" x14ac:dyDescent="0.45">
      <c r="G36" s="210" t="s">
        <v>763</v>
      </c>
      <c r="H36" s="210" t="s">
        <v>575</v>
      </c>
      <c r="I36" s="213" t="s">
        <v>932</v>
      </c>
      <c r="J36" s="210">
        <v>0.1198</v>
      </c>
    </row>
    <row r="37" spans="7:10" ht="15.9" x14ac:dyDescent="0.45">
      <c r="G37" s="210" t="s">
        <v>764</v>
      </c>
      <c r="H37" s="210" t="s">
        <v>576</v>
      </c>
      <c r="I37" s="213" t="s">
        <v>933</v>
      </c>
      <c r="J37" s="210">
        <v>2.1000000000000001E-4</v>
      </c>
    </row>
    <row r="38" spans="7:10" ht="15.9" x14ac:dyDescent="0.45">
      <c r="G38" s="210" t="s">
        <v>765</v>
      </c>
      <c r="H38" s="210" t="s">
        <v>577</v>
      </c>
      <c r="I38" s="213" t="s">
        <v>934</v>
      </c>
      <c r="J38" s="210">
        <v>1.6999999999999999E-3</v>
      </c>
    </row>
    <row r="39" spans="7:10" ht="15.9" x14ac:dyDescent="0.45">
      <c r="G39" s="210" t="s">
        <v>766</v>
      </c>
      <c r="H39" s="210" t="s">
        <v>578</v>
      </c>
      <c r="I39" s="213" t="s">
        <v>917</v>
      </c>
      <c r="J39" s="210">
        <v>0.86001000000000005</v>
      </c>
    </row>
    <row r="40" spans="7:10" ht="15.9" x14ac:dyDescent="0.45">
      <c r="G40" s="210" t="s">
        <v>767</v>
      </c>
      <c r="H40" s="210" t="s">
        <v>579</v>
      </c>
      <c r="I40" s="213" t="s">
        <v>935</v>
      </c>
      <c r="J40" s="210">
        <v>3.245E-2</v>
      </c>
    </row>
    <row r="41" spans="7:10" ht="15.9" x14ac:dyDescent="0.45">
      <c r="G41" s="210" t="s">
        <v>768</v>
      </c>
      <c r="H41" s="210" t="s">
        <v>580</v>
      </c>
      <c r="I41" s="213" t="s">
        <v>936</v>
      </c>
      <c r="J41" s="210">
        <v>9.0399999999999994E-3</v>
      </c>
    </row>
    <row r="42" spans="7:10" ht="15.9" x14ac:dyDescent="0.45">
      <c r="G42" s="210" t="s">
        <v>769</v>
      </c>
      <c r="H42" s="210" t="s">
        <v>581</v>
      </c>
      <c r="I42" s="213">
        <v>24.27693</v>
      </c>
      <c r="J42" s="210">
        <v>4.0579999999999998E-2</v>
      </c>
    </row>
    <row r="43" spans="7:10" ht="15.9" x14ac:dyDescent="0.45">
      <c r="G43" s="210" t="s">
        <v>770</v>
      </c>
      <c r="H43" s="210" t="s">
        <v>582</v>
      </c>
      <c r="I43" s="213" t="s">
        <v>937</v>
      </c>
      <c r="J43" s="210">
        <v>4.8399999999999997E-3</v>
      </c>
    </row>
    <row r="44" spans="7:10" ht="15.9" x14ac:dyDescent="0.45">
      <c r="G44" s="210" t="s">
        <v>771</v>
      </c>
      <c r="H44" s="210" t="s">
        <v>583</v>
      </c>
      <c r="I44" s="213">
        <v>7.4798499999999999</v>
      </c>
      <c r="J44" s="210">
        <v>0.13399</v>
      </c>
    </row>
    <row r="45" spans="7:10" ht="15.9" x14ac:dyDescent="0.45">
      <c r="G45" s="210" t="s">
        <v>772</v>
      </c>
      <c r="H45" s="210" t="s">
        <v>584</v>
      </c>
      <c r="I45" s="213" t="s">
        <v>938</v>
      </c>
      <c r="J45" s="210">
        <v>1.4290000000000001E-2</v>
      </c>
    </row>
    <row r="46" spans="7:10" ht="15.9" x14ac:dyDescent="0.45">
      <c r="G46" s="210" t="s">
        <v>773</v>
      </c>
      <c r="H46" s="210" t="s">
        <v>585</v>
      </c>
      <c r="I46" s="213" t="s">
        <v>939</v>
      </c>
      <c r="J46" s="210">
        <v>6.6100000000000004E-3</v>
      </c>
    </row>
    <row r="47" spans="7:10" ht="15.9" x14ac:dyDescent="0.45">
      <c r="G47" s="210" t="s">
        <v>774</v>
      </c>
      <c r="H47" s="210" t="s">
        <v>586</v>
      </c>
      <c r="I47" s="213" t="s">
        <v>940</v>
      </c>
      <c r="J47" s="210">
        <v>1.7399999999999999E-2</v>
      </c>
    </row>
    <row r="48" spans="7:10" ht="15.9" x14ac:dyDescent="0.45">
      <c r="G48" s="210" t="s">
        <v>775</v>
      </c>
      <c r="H48" s="210" t="s">
        <v>587</v>
      </c>
      <c r="I48" s="213" t="s">
        <v>941</v>
      </c>
      <c r="J48" s="210">
        <v>5.7329999999999999E-2</v>
      </c>
    </row>
    <row r="49" spans="7:10" ht="15.9" x14ac:dyDescent="0.45">
      <c r="G49" s="210" t="s">
        <v>776</v>
      </c>
      <c r="H49" s="210" t="s">
        <v>588</v>
      </c>
      <c r="I49" s="213" t="s">
        <v>942</v>
      </c>
      <c r="J49" s="210">
        <v>6.3099999999999996E-3</v>
      </c>
    </row>
    <row r="50" spans="7:10" ht="15.9" x14ac:dyDescent="0.45">
      <c r="G50" s="210" t="s">
        <v>777</v>
      </c>
      <c r="H50" s="210" t="s">
        <v>589</v>
      </c>
      <c r="I50" s="213" t="s">
        <v>943</v>
      </c>
      <c r="J50" s="210">
        <v>0.38130999999999998</v>
      </c>
    </row>
    <row r="51" spans="7:10" ht="15.9" x14ac:dyDescent="0.45">
      <c r="G51" s="210" t="s">
        <v>778</v>
      </c>
      <c r="H51" s="210" t="s">
        <v>590</v>
      </c>
      <c r="I51" s="213" t="s">
        <v>944</v>
      </c>
      <c r="J51" s="210">
        <v>1.15195</v>
      </c>
    </row>
    <row r="52" spans="7:10" ht="15.9" x14ac:dyDescent="0.45">
      <c r="G52" s="210" t="s">
        <v>779</v>
      </c>
      <c r="H52" s="210" t="s">
        <v>591</v>
      </c>
      <c r="I52" s="213">
        <v>0.87378999999999996</v>
      </c>
      <c r="J52" s="210">
        <v>1.1527000000000001</v>
      </c>
    </row>
    <row r="53" spans="7:10" ht="15.9" x14ac:dyDescent="0.45">
      <c r="G53" s="210" t="s">
        <v>780</v>
      </c>
      <c r="H53" s="210" t="s">
        <v>592</v>
      </c>
      <c r="I53" s="213" t="s">
        <v>945</v>
      </c>
      <c r="J53" s="210">
        <v>0.31730999999999998</v>
      </c>
    </row>
    <row r="54" spans="7:10" ht="15.9" x14ac:dyDescent="0.45">
      <c r="G54" s="210" t="s">
        <v>781</v>
      </c>
      <c r="H54" s="210" t="s">
        <v>593</v>
      </c>
      <c r="I54" s="213" t="s">
        <v>944</v>
      </c>
      <c r="J54" s="210">
        <v>1.15195</v>
      </c>
    </row>
    <row r="55" spans="7:10" ht="15.9" x14ac:dyDescent="0.45">
      <c r="G55" s="210" t="s">
        <v>782</v>
      </c>
      <c r="H55" s="210" t="s">
        <v>594</v>
      </c>
      <c r="I55" s="213" t="s">
        <v>946</v>
      </c>
      <c r="J55" s="210">
        <v>8.2650000000000001E-2</v>
      </c>
    </row>
    <row r="56" spans="7:10" ht="15.9" x14ac:dyDescent="0.45">
      <c r="G56" s="210" t="s">
        <v>783</v>
      </c>
      <c r="H56" s="210" t="s">
        <v>595</v>
      </c>
      <c r="I56" s="213" t="s">
        <v>944</v>
      </c>
      <c r="J56" s="210">
        <v>1.15195</v>
      </c>
    </row>
    <row r="57" spans="7:10" ht="15.9" x14ac:dyDescent="0.45">
      <c r="G57" s="210" t="s">
        <v>784</v>
      </c>
      <c r="H57" s="210" t="s">
        <v>596</v>
      </c>
      <c r="I57" s="213" t="s">
        <v>947</v>
      </c>
      <c r="J57" s="210">
        <v>1.2030000000000001E-2</v>
      </c>
    </row>
    <row r="58" spans="7:10" ht="15.9" x14ac:dyDescent="0.45">
      <c r="G58" s="210" t="s">
        <v>785</v>
      </c>
      <c r="H58" s="210" t="s">
        <v>597</v>
      </c>
      <c r="I58" s="213" t="s">
        <v>948</v>
      </c>
      <c r="J58" s="210">
        <v>1E-4</v>
      </c>
    </row>
    <row r="59" spans="7:10" ht="15.9" x14ac:dyDescent="0.45">
      <c r="G59" s="210" t="s">
        <v>786</v>
      </c>
      <c r="H59" s="210" t="s">
        <v>598</v>
      </c>
      <c r="I59" s="213" t="s">
        <v>949</v>
      </c>
      <c r="J59" s="210">
        <v>0.11206000000000001</v>
      </c>
    </row>
    <row r="60" spans="7:10" ht="15.9" x14ac:dyDescent="0.45">
      <c r="G60" s="210" t="s">
        <v>787</v>
      </c>
      <c r="H60" s="210" t="s">
        <v>599</v>
      </c>
      <c r="I60" s="213" t="s">
        <v>950</v>
      </c>
      <c r="J60" s="210">
        <v>4.1099999999999999E-3</v>
      </c>
    </row>
    <row r="61" spans="7:10" ht="15.9" x14ac:dyDescent="0.45">
      <c r="G61" s="210" t="s">
        <v>788</v>
      </c>
      <c r="H61" s="210" t="s">
        <v>600</v>
      </c>
      <c r="I61" s="213" t="s">
        <v>951</v>
      </c>
      <c r="J61" s="210">
        <v>0.10956</v>
      </c>
    </row>
    <row r="62" spans="7:10" ht="15.9" x14ac:dyDescent="0.45">
      <c r="G62" s="210" t="s">
        <v>789</v>
      </c>
      <c r="H62" s="210" t="s">
        <v>601</v>
      </c>
      <c r="I62" s="213" t="s">
        <v>952</v>
      </c>
      <c r="J62" s="210">
        <v>3.2640000000000002E-2</v>
      </c>
    </row>
    <row r="63" spans="7:10" ht="15.9" x14ac:dyDescent="0.45">
      <c r="G63" s="210" t="s">
        <v>790</v>
      </c>
      <c r="H63" s="210" t="s">
        <v>602</v>
      </c>
      <c r="I63" s="213" t="s">
        <v>953</v>
      </c>
      <c r="J63" s="210">
        <v>0.13277</v>
      </c>
    </row>
    <row r="64" spans="7:10" ht="15.9" x14ac:dyDescent="0.45">
      <c r="G64" s="210" t="s">
        <v>791</v>
      </c>
      <c r="H64" s="210" t="s">
        <v>603</v>
      </c>
      <c r="I64" s="213" t="s">
        <v>954</v>
      </c>
      <c r="J64" s="210">
        <v>6.5500000000000003E-3</v>
      </c>
    </row>
    <row r="65" spans="7:10" ht="15.9" x14ac:dyDescent="0.45">
      <c r="G65" s="210" t="s">
        <v>792</v>
      </c>
      <c r="H65" s="210" t="s">
        <v>604</v>
      </c>
      <c r="I65" s="213" t="s">
        <v>955</v>
      </c>
      <c r="J65" s="210">
        <v>2.5000000000000001E-3</v>
      </c>
    </row>
    <row r="66" spans="7:10" ht="15.9" x14ac:dyDescent="0.45">
      <c r="G66" s="210" t="s">
        <v>793</v>
      </c>
      <c r="H66" s="210" t="s">
        <v>605</v>
      </c>
      <c r="I66" s="213" t="s">
        <v>956</v>
      </c>
      <c r="J66" s="210">
        <v>5.0000000000000002E-5</v>
      </c>
    </row>
    <row r="67" spans="7:10" ht="15.9" x14ac:dyDescent="0.45">
      <c r="G67" s="210" t="s">
        <v>794</v>
      </c>
      <c r="H67" s="210" t="s">
        <v>606</v>
      </c>
      <c r="I67" s="213" t="s">
        <v>957</v>
      </c>
      <c r="J67" s="210">
        <v>0.25625999999999999</v>
      </c>
    </row>
    <row r="68" spans="7:10" ht="15.9" x14ac:dyDescent="0.45">
      <c r="G68" s="210" t="s">
        <v>795</v>
      </c>
      <c r="H68" s="210" t="s">
        <v>607</v>
      </c>
      <c r="I68" s="213" t="s">
        <v>944</v>
      </c>
      <c r="J68" s="210">
        <v>1.15195</v>
      </c>
    </row>
    <row r="69" spans="7:10" ht="15.9" x14ac:dyDescent="0.45">
      <c r="G69" s="210" t="s">
        <v>796</v>
      </c>
      <c r="H69" s="210" t="s">
        <v>608</v>
      </c>
      <c r="I69" s="213" t="s">
        <v>958</v>
      </c>
      <c r="J69" s="210">
        <v>1.001E-2</v>
      </c>
    </row>
    <row r="70" spans="7:10" ht="15.9" x14ac:dyDescent="0.45">
      <c r="G70" s="210" t="s">
        <v>797</v>
      </c>
      <c r="H70" s="210" t="s">
        <v>609</v>
      </c>
      <c r="I70" s="213" t="s">
        <v>959</v>
      </c>
      <c r="J70" s="210">
        <v>6.6E-4</v>
      </c>
    </row>
    <row r="71" spans="7:10" ht="15.9" x14ac:dyDescent="0.45">
      <c r="G71" s="210" t="s">
        <v>798</v>
      </c>
      <c r="H71" s="210" t="s">
        <v>610</v>
      </c>
      <c r="I71" s="213" t="s">
        <v>960</v>
      </c>
      <c r="J71" s="210">
        <v>2.0000000000000002E-5</v>
      </c>
    </row>
    <row r="72" spans="7:10" ht="15.9" x14ac:dyDescent="0.45">
      <c r="G72" s="210" t="s">
        <v>799</v>
      </c>
      <c r="H72" s="210" t="s">
        <v>611</v>
      </c>
      <c r="I72" s="213">
        <v>145.00587999999999</v>
      </c>
      <c r="J72" s="210">
        <v>7.0299999999999998E-3</v>
      </c>
    </row>
    <row r="73" spans="7:10" ht="15.9" x14ac:dyDescent="0.45">
      <c r="G73" s="210" t="s">
        <v>800</v>
      </c>
      <c r="H73" s="210" t="s">
        <v>612</v>
      </c>
      <c r="I73" s="213" t="s">
        <v>944</v>
      </c>
      <c r="J73" s="210">
        <v>1.15195</v>
      </c>
    </row>
    <row r="74" spans="7:10" ht="15.9" x14ac:dyDescent="0.45">
      <c r="G74" s="210" t="s">
        <v>801</v>
      </c>
      <c r="H74" s="210" t="s">
        <v>613</v>
      </c>
      <c r="I74" s="213" t="s">
        <v>961</v>
      </c>
      <c r="J74" s="210">
        <v>5.3800000000000002E-3</v>
      </c>
    </row>
    <row r="75" spans="7:10" ht="15.9" x14ac:dyDescent="0.45">
      <c r="G75" s="210" t="s">
        <v>802</v>
      </c>
      <c r="H75" s="210" t="s">
        <v>614</v>
      </c>
      <c r="I75" s="213" t="s">
        <v>962</v>
      </c>
      <c r="J75" s="210">
        <v>1.2130099999999999</v>
      </c>
    </row>
    <row r="76" spans="7:10" ht="15.9" x14ac:dyDescent="0.45">
      <c r="G76" s="210" t="s">
        <v>803</v>
      </c>
      <c r="H76" s="210" t="s">
        <v>615</v>
      </c>
      <c r="I76" s="213" t="s">
        <v>963</v>
      </c>
      <c r="J76" s="210">
        <v>5.7999999999999996E-3</v>
      </c>
    </row>
    <row r="77" spans="7:10" ht="15.9" x14ac:dyDescent="0.45">
      <c r="G77" s="210" t="s">
        <v>804</v>
      </c>
      <c r="H77" s="210" t="s">
        <v>616</v>
      </c>
      <c r="I77" s="213" t="s">
        <v>964</v>
      </c>
      <c r="J77" s="210">
        <v>6.6400000000000001E-3</v>
      </c>
    </row>
    <row r="78" spans="7:10" ht="15.9" x14ac:dyDescent="0.45">
      <c r="G78" s="210" t="s">
        <v>805</v>
      </c>
      <c r="H78" s="210" t="s">
        <v>617</v>
      </c>
      <c r="I78" s="213" t="s">
        <v>965</v>
      </c>
      <c r="J78" s="210">
        <v>9.8300000000000002E-3</v>
      </c>
    </row>
    <row r="79" spans="7:10" ht="15.9" x14ac:dyDescent="0.45">
      <c r="G79" s="210" t="s">
        <v>806</v>
      </c>
      <c r="H79" s="210" t="s">
        <v>618</v>
      </c>
      <c r="I79" s="213" t="s">
        <v>966</v>
      </c>
      <c r="J79" s="210">
        <v>2.1000000000000001E-4</v>
      </c>
    </row>
    <row r="80" spans="7:10" ht="15.9" x14ac:dyDescent="0.45">
      <c r="G80" s="210" t="s">
        <v>807</v>
      </c>
      <c r="H80" s="210" t="s">
        <v>619</v>
      </c>
      <c r="I80" s="213" t="s">
        <v>967</v>
      </c>
      <c r="J80" s="210">
        <v>2.0300000000000001E-3</v>
      </c>
    </row>
    <row r="81" spans="7:10" ht="15.9" x14ac:dyDescent="0.45">
      <c r="G81" s="210" t="s">
        <v>808</v>
      </c>
      <c r="H81" s="210" t="s">
        <v>620</v>
      </c>
      <c r="I81" s="213" t="s">
        <v>968</v>
      </c>
      <c r="J81" s="210">
        <v>9.6000000000000002E-4</v>
      </c>
    </row>
    <row r="82" spans="7:10" ht="15.9" x14ac:dyDescent="0.45">
      <c r="G82" s="210" t="s">
        <v>809</v>
      </c>
      <c r="H82" s="210" t="s">
        <v>621</v>
      </c>
      <c r="I82" s="213" t="s">
        <v>969</v>
      </c>
      <c r="J82" s="210">
        <v>6.2E-4</v>
      </c>
    </row>
    <row r="83" spans="7:10" ht="15.9" x14ac:dyDescent="0.45">
      <c r="G83" s="210" t="s">
        <v>810</v>
      </c>
      <c r="H83" s="210" t="s">
        <v>622</v>
      </c>
      <c r="I83" s="213" t="s">
        <v>970</v>
      </c>
      <c r="J83" s="210">
        <v>2.8138999999999998</v>
      </c>
    </row>
    <row r="84" spans="7:10" ht="15.9" x14ac:dyDescent="0.45">
      <c r="G84" s="210" t="s">
        <v>811</v>
      </c>
      <c r="H84" s="210" t="s">
        <v>623</v>
      </c>
      <c r="I84" s="213" t="s">
        <v>971</v>
      </c>
      <c r="J84" s="210">
        <v>1.03179</v>
      </c>
    </row>
    <row r="85" spans="7:10" ht="15.9" x14ac:dyDescent="0.45">
      <c r="G85" s="210" t="s">
        <v>812</v>
      </c>
      <c r="H85" s="210" t="s">
        <v>624</v>
      </c>
      <c r="I85" s="213" t="s">
        <v>972</v>
      </c>
      <c r="J85" s="210">
        <v>1.6299999999999999E-3</v>
      </c>
    </row>
    <row r="86" spans="7:10" ht="15.9" x14ac:dyDescent="0.45">
      <c r="G86" s="210" t="s">
        <v>813</v>
      </c>
      <c r="H86" s="210" t="s">
        <v>625</v>
      </c>
      <c r="I86" s="213" t="s">
        <v>973</v>
      </c>
      <c r="J86" s="210">
        <v>4.0000000000000003E-5</v>
      </c>
    </row>
    <row r="87" spans="7:10" ht="15.9" x14ac:dyDescent="0.45">
      <c r="G87" s="210" t="s">
        <v>814</v>
      </c>
      <c r="H87" s="210" t="s">
        <v>626</v>
      </c>
      <c r="I87" s="213" t="s">
        <v>974</v>
      </c>
      <c r="J87" s="210">
        <v>1.0000000000000001E-5</v>
      </c>
    </row>
    <row r="88" spans="7:10" ht="15.9" x14ac:dyDescent="0.45">
      <c r="G88" s="210" t="s">
        <v>815</v>
      </c>
      <c r="H88" s="210" t="s">
        <v>627</v>
      </c>
      <c r="I88" s="213" t="s">
        <v>975</v>
      </c>
      <c r="J88" s="210">
        <v>2.8500000000000001E-3</v>
      </c>
    </row>
    <row r="89" spans="7:10" ht="15.9" x14ac:dyDescent="0.45">
      <c r="G89" s="210" t="s">
        <v>816</v>
      </c>
      <c r="H89" s="210" t="s">
        <v>628</v>
      </c>
      <c r="I89" s="213" t="s">
        <v>976</v>
      </c>
      <c r="J89" s="210">
        <v>4.28E-3</v>
      </c>
    </row>
    <row r="90" spans="7:10" ht="15.9" x14ac:dyDescent="0.45">
      <c r="G90" s="210" t="s">
        <v>817</v>
      </c>
      <c r="H90" s="210" t="s">
        <v>629</v>
      </c>
      <c r="I90" s="213" t="s">
        <v>977</v>
      </c>
      <c r="J90" s="210">
        <v>4.8259999999999997E-2</v>
      </c>
    </row>
    <row r="91" spans="7:10" ht="15.9" x14ac:dyDescent="0.45">
      <c r="G91" s="210" t="s">
        <v>818</v>
      </c>
      <c r="H91" s="210" t="s">
        <v>630</v>
      </c>
      <c r="I91" s="213" t="s">
        <v>978</v>
      </c>
      <c r="J91" s="210">
        <v>0.29126000000000002</v>
      </c>
    </row>
    <row r="92" spans="7:10" ht="15.9" x14ac:dyDescent="0.45">
      <c r="G92" s="210" t="s">
        <v>819</v>
      </c>
      <c r="H92" s="210" t="s">
        <v>631</v>
      </c>
      <c r="I92" s="213" t="s">
        <v>979</v>
      </c>
      <c r="J92" s="210">
        <v>1.4217599999999999</v>
      </c>
    </row>
    <row r="93" spans="7:10" ht="15.9" x14ac:dyDescent="0.45">
      <c r="G93" s="210" t="s">
        <v>820</v>
      </c>
      <c r="H93" s="210" t="s">
        <v>632</v>
      </c>
      <c r="I93" s="213" t="s">
        <v>980</v>
      </c>
      <c r="J93" s="210">
        <v>0.15867000000000001</v>
      </c>
    </row>
    <row r="94" spans="7:10" ht="15.9" x14ac:dyDescent="0.45">
      <c r="G94" s="210" t="s">
        <v>821</v>
      </c>
      <c r="H94" s="210" t="s">
        <v>633</v>
      </c>
      <c r="I94" s="213" t="s">
        <v>981</v>
      </c>
      <c r="J94" s="210">
        <v>9.5100000000000004E-2</v>
      </c>
    </row>
    <row r="95" spans="7:10" ht="15.9" x14ac:dyDescent="0.45">
      <c r="G95" s="210" t="s">
        <v>822</v>
      </c>
      <c r="H95" s="210" t="s">
        <v>634</v>
      </c>
      <c r="I95" s="213" t="s">
        <v>982</v>
      </c>
      <c r="J95" s="210">
        <v>5.0639999999999998E-2</v>
      </c>
    </row>
    <row r="96" spans="7:10" ht="15.9" x14ac:dyDescent="0.45">
      <c r="G96" s="210" t="s">
        <v>823</v>
      </c>
      <c r="H96" s="210" t="s">
        <v>635</v>
      </c>
      <c r="I96" s="213" t="s">
        <v>983</v>
      </c>
      <c r="J96" s="210">
        <v>1.9000000000000001E-4</v>
      </c>
    </row>
    <row r="97" spans="7:10" ht="15.9" x14ac:dyDescent="0.45">
      <c r="G97" s="210" t="s">
        <v>824</v>
      </c>
      <c r="H97" s="210" t="s">
        <v>636</v>
      </c>
      <c r="I97" s="213" t="s">
        <v>984</v>
      </c>
      <c r="J97" s="210">
        <v>1.6250000000000001E-2</v>
      </c>
    </row>
    <row r="98" spans="7:10" ht="15.9" x14ac:dyDescent="0.45">
      <c r="G98" s="210" t="s">
        <v>825</v>
      </c>
      <c r="H98" s="210" t="s">
        <v>637</v>
      </c>
      <c r="I98" s="213" t="s">
        <v>985</v>
      </c>
      <c r="J98" s="210">
        <v>4.0999999999999999E-4</v>
      </c>
    </row>
    <row r="99" spans="7:10" ht="15.9" x14ac:dyDescent="0.45">
      <c r="G99" s="210" t="s">
        <v>826</v>
      </c>
      <c r="H99" s="210" t="s">
        <v>638</v>
      </c>
      <c r="I99" s="213" t="s">
        <v>986</v>
      </c>
      <c r="J99" s="210">
        <v>2.4000000000000001E-4</v>
      </c>
    </row>
    <row r="100" spans="7:10" ht="15.9" x14ac:dyDescent="0.45">
      <c r="G100" s="210" t="s">
        <v>827</v>
      </c>
      <c r="H100" s="210" t="s">
        <v>639</v>
      </c>
      <c r="I100" s="213" t="s">
        <v>987</v>
      </c>
      <c r="J100" s="210">
        <v>0.10634</v>
      </c>
    </row>
    <row r="101" spans="7:10" ht="31.75" x14ac:dyDescent="0.45">
      <c r="G101" s="212" t="s">
        <v>828</v>
      </c>
      <c r="H101" s="210" t="s">
        <v>640</v>
      </c>
      <c r="I101" s="213" t="s">
        <v>988</v>
      </c>
      <c r="J101" s="210">
        <v>2.1649999999999999E-2</v>
      </c>
    </row>
    <row r="102" spans="7:10" ht="15.9" x14ac:dyDescent="0.45">
      <c r="G102" s="210" t="s">
        <v>829</v>
      </c>
      <c r="H102" s="210" t="s">
        <v>641</v>
      </c>
      <c r="I102" s="213" t="s">
        <v>989</v>
      </c>
      <c r="J102" s="210">
        <v>1.8800000000000001E-2</v>
      </c>
    </row>
    <row r="103" spans="7:10" ht="15.9" x14ac:dyDescent="0.45">
      <c r="G103" s="210" t="s">
        <v>830</v>
      </c>
      <c r="H103" s="210" t="s">
        <v>642</v>
      </c>
      <c r="I103" s="213" t="s">
        <v>990</v>
      </c>
      <c r="J103" s="210">
        <v>5.577E-2</v>
      </c>
    </row>
    <row r="104" spans="7:10" ht="15.9" x14ac:dyDescent="0.45">
      <c r="G104" s="210" t="s">
        <v>831</v>
      </c>
      <c r="H104" s="210" t="s">
        <v>643</v>
      </c>
      <c r="I104" s="213" t="s">
        <v>991</v>
      </c>
      <c r="J104" s="210">
        <v>5.0000000000000001E-4</v>
      </c>
    </row>
    <row r="105" spans="7:10" ht="15.9" x14ac:dyDescent="0.45">
      <c r="G105" s="210" t="s">
        <v>832</v>
      </c>
      <c r="H105" s="210" t="s">
        <v>644</v>
      </c>
      <c r="I105" s="213" t="s">
        <v>992</v>
      </c>
      <c r="J105" s="210">
        <v>4.5900000000000003E-2</v>
      </c>
    </row>
    <row r="106" spans="7:10" ht="15.9" x14ac:dyDescent="0.45">
      <c r="G106" s="210" t="s">
        <v>833</v>
      </c>
      <c r="H106" s="210" t="s">
        <v>645</v>
      </c>
      <c r="I106" s="213" t="s">
        <v>993</v>
      </c>
      <c r="J106" s="210">
        <v>0.20258999999999999</v>
      </c>
    </row>
    <row r="107" spans="7:10" ht="15.9" x14ac:dyDescent="0.45">
      <c r="G107" s="210" t="s">
        <v>834</v>
      </c>
      <c r="H107" s="210" t="s">
        <v>646</v>
      </c>
      <c r="I107" s="213" t="s">
        <v>994</v>
      </c>
      <c r="J107" s="210">
        <v>1.345E-2</v>
      </c>
    </row>
    <row r="108" spans="7:10" ht="15.9" x14ac:dyDescent="0.45">
      <c r="G108" s="210" t="s">
        <v>835</v>
      </c>
      <c r="H108" s="210" t="s">
        <v>647</v>
      </c>
      <c r="I108" s="213" t="s">
        <v>995</v>
      </c>
      <c r="J108" s="210">
        <v>4.8259999999999997E-2</v>
      </c>
    </row>
    <row r="109" spans="7:10" ht="15.9" x14ac:dyDescent="0.45">
      <c r="G109" s="210" t="s">
        <v>836</v>
      </c>
      <c r="H109" s="210" t="s">
        <v>648</v>
      </c>
      <c r="I109" s="213" t="s">
        <v>996</v>
      </c>
      <c r="J109" s="210">
        <v>5.5999999999999995E-4</v>
      </c>
    </row>
    <row r="110" spans="7:10" ht="15.9" x14ac:dyDescent="0.45">
      <c r="G110" s="210" t="s">
        <v>837</v>
      </c>
      <c r="H110" s="210" t="s">
        <v>649</v>
      </c>
      <c r="I110" s="213" t="s">
        <v>997</v>
      </c>
      <c r="J110" s="210">
        <v>2.3400000000000001E-2</v>
      </c>
    </row>
    <row r="111" spans="7:10" ht="15.9" x14ac:dyDescent="0.45">
      <c r="G111" s="210" t="s">
        <v>838</v>
      </c>
      <c r="H111" s="210" t="s">
        <v>650</v>
      </c>
      <c r="I111" s="213">
        <v>11.294639999999999</v>
      </c>
      <c r="J111" s="210">
        <v>8.3839999999999998E-2</v>
      </c>
    </row>
    <row r="112" spans="7:10" ht="15.9" x14ac:dyDescent="0.45">
      <c r="G112" s="210" t="s">
        <v>839</v>
      </c>
      <c r="H112" s="210" t="s">
        <v>651</v>
      </c>
      <c r="I112" s="213" t="s">
        <v>998</v>
      </c>
      <c r="J112" s="210">
        <v>6.2500000000000003E-3</v>
      </c>
    </row>
    <row r="113" spans="7:10" ht="15.9" x14ac:dyDescent="0.45">
      <c r="G113" s="210" t="s">
        <v>840</v>
      </c>
      <c r="H113" s="210" t="s">
        <v>652</v>
      </c>
      <c r="I113" s="213" t="s">
        <v>999</v>
      </c>
      <c r="J113" s="210">
        <v>0.51085000000000003</v>
      </c>
    </row>
    <row r="114" spans="7:10" ht="15.9" x14ac:dyDescent="0.45">
      <c r="G114" s="210" t="s">
        <v>841</v>
      </c>
      <c r="H114" s="210" t="s">
        <v>653</v>
      </c>
      <c r="I114" s="213" t="s">
        <v>1000</v>
      </c>
      <c r="J114" s="210">
        <v>2.2367599999999999</v>
      </c>
    </row>
    <row r="115" spans="7:10" ht="15.9" x14ac:dyDescent="0.45">
      <c r="G115" s="210" t="s">
        <v>842</v>
      </c>
      <c r="H115" s="210" t="s">
        <v>654</v>
      </c>
      <c r="I115" s="213" t="s">
        <v>921</v>
      </c>
      <c r="J115" s="210">
        <v>0.85985</v>
      </c>
    </row>
    <row r="116" spans="7:10" ht="15.9" x14ac:dyDescent="0.45">
      <c r="G116" s="210" t="s">
        <v>843</v>
      </c>
      <c r="H116" s="210" t="s">
        <v>655</v>
      </c>
      <c r="I116" s="213" t="s">
        <v>1001</v>
      </c>
      <c r="J116" s="210">
        <v>0.24246000000000001</v>
      </c>
    </row>
    <row r="117" spans="7:10" ht="15.9" x14ac:dyDescent="0.45">
      <c r="G117" s="210" t="s">
        <v>844</v>
      </c>
      <c r="H117" s="210" t="s">
        <v>656</v>
      </c>
      <c r="I117" s="213" t="s">
        <v>1002</v>
      </c>
      <c r="J117" s="210">
        <v>0.20807</v>
      </c>
    </row>
    <row r="118" spans="7:10" ht="15.9" x14ac:dyDescent="0.45">
      <c r="G118" s="210" t="s">
        <v>845</v>
      </c>
      <c r="H118" s="210" t="s">
        <v>657</v>
      </c>
      <c r="I118" s="213" t="s">
        <v>1003</v>
      </c>
      <c r="J118" s="210">
        <v>1.507E-2</v>
      </c>
    </row>
    <row r="119" spans="7:10" ht="15.9" x14ac:dyDescent="0.45">
      <c r="G119" s="210" t="s">
        <v>846</v>
      </c>
      <c r="H119" s="210" t="s">
        <v>658</v>
      </c>
      <c r="I119" s="213" t="s">
        <v>1004</v>
      </c>
      <c r="J119" s="210">
        <v>3.0200000000000001E-3</v>
      </c>
    </row>
    <row r="120" spans="7:10" ht="15.9" x14ac:dyDescent="0.45">
      <c r="G120" s="210" t="s">
        <v>847</v>
      </c>
      <c r="H120" s="210" t="s">
        <v>659</v>
      </c>
      <c r="I120" s="213">
        <v>4.2184400000000002</v>
      </c>
      <c r="J120" s="210">
        <v>0.23501</v>
      </c>
    </row>
    <row r="121" spans="7:10" ht="15.9" x14ac:dyDescent="0.45">
      <c r="G121" s="210" t="s">
        <v>848</v>
      </c>
      <c r="H121" s="210" t="s">
        <v>660</v>
      </c>
      <c r="I121" s="213" t="s">
        <v>1005</v>
      </c>
      <c r="J121" s="210">
        <v>1.1E-4</v>
      </c>
    </row>
    <row r="122" spans="7:10" ht="15.9" x14ac:dyDescent="0.45">
      <c r="G122" s="210" t="s">
        <v>849</v>
      </c>
      <c r="H122" s="210" t="s">
        <v>661</v>
      </c>
      <c r="I122" s="213" t="s">
        <v>1006</v>
      </c>
      <c r="J122" s="210">
        <v>0.23623</v>
      </c>
    </row>
    <row r="123" spans="7:10" ht="15.9" x14ac:dyDescent="0.45">
      <c r="G123" s="210" t="s">
        <v>850</v>
      </c>
      <c r="H123" s="210" t="s">
        <v>662</v>
      </c>
      <c r="I123" s="213" t="s">
        <v>1007</v>
      </c>
      <c r="J123" s="210">
        <v>0.19725000000000001</v>
      </c>
    </row>
    <row r="124" spans="7:10" ht="15.9" x14ac:dyDescent="0.45">
      <c r="G124" s="210" t="s">
        <v>851</v>
      </c>
      <c r="H124" s="210" t="s">
        <v>663</v>
      </c>
      <c r="I124" s="213">
        <v>117.37582999999999</v>
      </c>
      <c r="J124" s="210">
        <v>8.5400000000000007E-3</v>
      </c>
    </row>
    <row r="125" spans="7:10" ht="15.9" x14ac:dyDescent="0.45">
      <c r="G125" s="210" t="s">
        <v>852</v>
      </c>
      <c r="H125" s="210" t="s">
        <v>664</v>
      </c>
      <c r="I125" s="213" t="s">
        <v>1008</v>
      </c>
      <c r="J125" s="210">
        <v>1.099E-2</v>
      </c>
    </row>
    <row r="126" spans="7:10" ht="15.9" x14ac:dyDescent="0.45">
      <c r="G126" s="210" t="s">
        <v>853</v>
      </c>
      <c r="H126" s="210" t="s">
        <v>665</v>
      </c>
      <c r="I126" s="213" t="s">
        <v>1009</v>
      </c>
      <c r="J126" s="210">
        <v>5.9999999999999995E-4</v>
      </c>
    </row>
    <row r="127" spans="7:10" ht="15.9" x14ac:dyDescent="0.45">
      <c r="G127" s="210" t="s">
        <v>854</v>
      </c>
      <c r="H127" s="210" t="s">
        <v>666</v>
      </c>
      <c r="I127" s="213" t="s">
        <v>1010</v>
      </c>
      <c r="J127" s="210">
        <v>0.22928000000000001</v>
      </c>
    </row>
    <row r="128" spans="7:10" ht="15.9" x14ac:dyDescent="0.45">
      <c r="G128" s="210" t="s">
        <v>855</v>
      </c>
      <c r="H128" s="210" t="s">
        <v>667</v>
      </c>
      <c r="I128" s="213" t="s">
        <v>1011</v>
      </c>
      <c r="J128" s="210">
        <v>0.10337</v>
      </c>
    </row>
    <row r="129" spans="7:10" ht="15.9" x14ac:dyDescent="0.45">
      <c r="G129" s="210" t="s">
        <v>856</v>
      </c>
      <c r="H129" s="210" t="s">
        <v>668</v>
      </c>
      <c r="I129" s="213" t="s">
        <v>1012</v>
      </c>
      <c r="J129" s="210">
        <v>6.0859999999999997E-2</v>
      </c>
    </row>
    <row r="130" spans="7:10" ht="15.9" x14ac:dyDescent="0.45">
      <c r="G130" s="210" t="s">
        <v>857</v>
      </c>
      <c r="H130" s="210" t="s">
        <v>669</v>
      </c>
      <c r="I130" s="213" t="s">
        <v>1013</v>
      </c>
      <c r="J130" s="210">
        <v>1.4300000000000001E-3</v>
      </c>
    </row>
    <row r="131" spans="7:10" ht="15.9" x14ac:dyDescent="0.45">
      <c r="G131" s="210" t="s">
        <v>858</v>
      </c>
      <c r="H131" s="210" t="s">
        <v>670</v>
      </c>
      <c r="I131" s="213">
        <v>10.621650000000001</v>
      </c>
      <c r="J131" s="210">
        <v>8.8419999999999999E-2</v>
      </c>
    </row>
    <row r="132" spans="7:10" ht="15.9" x14ac:dyDescent="0.45">
      <c r="G132" s="210" t="s">
        <v>859</v>
      </c>
      <c r="H132" s="210" t="s">
        <v>671</v>
      </c>
      <c r="I132" s="213" t="s">
        <v>1014</v>
      </c>
      <c r="J132" s="210">
        <v>0.66976000000000002</v>
      </c>
    </row>
    <row r="133" spans="7:10" ht="15.9" x14ac:dyDescent="0.45">
      <c r="G133" s="210" t="s">
        <v>860</v>
      </c>
      <c r="H133" s="210" t="s">
        <v>672</v>
      </c>
      <c r="I133" s="213" t="s">
        <v>1015</v>
      </c>
      <c r="J133" s="210">
        <v>1.0943799999999999</v>
      </c>
    </row>
    <row r="134" spans="7:10" ht="15.9" x14ac:dyDescent="0.45">
      <c r="G134" s="210" t="s">
        <v>861</v>
      </c>
      <c r="H134" s="210" t="s">
        <v>673</v>
      </c>
      <c r="I134" s="213" t="s">
        <v>1016</v>
      </c>
      <c r="J134" s="210">
        <v>4.0000000000000003E-5</v>
      </c>
    </row>
    <row r="135" spans="7:10" ht="15.9" x14ac:dyDescent="0.45">
      <c r="G135" s="210" t="s">
        <v>862</v>
      </c>
      <c r="H135" s="210" t="s">
        <v>674</v>
      </c>
      <c r="I135" s="213" t="s">
        <v>1017</v>
      </c>
      <c r="J135" s="210">
        <v>1.5E-3</v>
      </c>
    </row>
    <row r="136" spans="7:10" ht="15.9" x14ac:dyDescent="0.45">
      <c r="G136" s="210" t="s">
        <v>863</v>
      </c>
      <c r="H136" s="210" t="s">
        <v>675</v>
      </c>
      <c r="I136" s="213" t="s">
        <v>1018</v>
      </c>
      <c r="J136" s="210">
        <v>2.317E-2</v>
      </c>
    </row>
    <row r="137" spans="7:10" ht="15.9" x14ac:dyDescent="0.45">
      <c r="G137" s="210" t="s">
        <v>864</v>
      </c>
      <c r="H137" s="210" t="s">
        <v>676</v>
      </c>
      <c r="I137" s="213" t="s">
        <v>1019</v>
      </c>
      <c r="J137" s="210">
        <v>4.0000000000000003E-5</v>
      </c>
    </row>
    <row r="138" spans="7:10" ht="15.9" x14ac:dyDescent="0.45">
      <c r="G138" s="210" t="s">
        <v>865</v>
      </c>
      <c r="H138" s="210" t="s">
        <v>677</v>
      </c>
      <c r="I138" s="213" t="s">
        <v>1020</v>
      </c>
      <c r="J138" s="210">
        <v>9.8269999999999996E-2</v>
      </c>
    </row>
    <row r="139" spans="7:10" ht="15.9" x14ac:dyDescent="0.45">
      <c r="G139" s="210" t="s">
        <v>866</v>
      </c>
      <c r="H139" s="210" t="s">
        <v>678</v>
      </c>
      <c r="I139" s="213" t="s">
        <v>1021</v>
      </c>
      <c r="J139" s="210">
        <v>6.9999999999999994E-5</v>
      </c>
    </row>
    <row r="140" spans="7:10" ht="15.9" x14ac:dyDescent="0.45">
      <c r="G140" s="210" t="s">
        <v>867</v>
      </c>
      <c r="H140" s="210" t="s">
        <v>679</v>
      </c>
      <c r="I140" s="213" t="s">
        <v>1022</v>
      </c>
      <c r="J140" s="210">
        <v>4.8259999999999997E-2</v>
      </c>
    </row>
    <row r="141" spans="7:10" ht="15.9" x14ac:dyDescent="0.45">
      <c r="G141" s="210" t="s">
        <v>868</v>
      </c>
      <c r="H141" s="210" t="s">
        <v>680</v>
      </c>
      <c r="I141" s="213" t="s">
        <v>1023</v>
      </c>
      <c r="J141" s="210">
        <v>2.647E-2</v>
      </c>
    </row>
    <row r="142" spans="7:10" ht="15.9" x14ac:dyDescent="0.45">
      <c r="G142" s="210" t="s">
        <v>869</v>
      </c>
      <c r="H142" s="210" t="s">
        <v>681</v>
      </c>
      <c r="I142" s="213" t="s">
        <v>1024</v>
      </c>
      <c r="J142" s="210">
        <v>8.9800000000000005E-2</v>
      </c>
    </row>
    <row r="143" spans="7:10" ht="15.9" x14ac:dyDescent="0.45">
      <c r="G143" s="210" t="s">
        <v>870</v>
      </c>
      <c r="H143" s="210" t="s">
        <v>682</v>
      </c>
      <c r="I143" s="213" t="s">
        <v>1025</v>
      </c>
      <c r="J143" s="210">
        <v>0.24501999999999999</v>
      </c>
    </row>
    <row r="144" spans="7:10" ht="15.9" x14ac:dyDescent="0.45">
      <c r="G144" s="210" t="s">
        <v>871</v>
      </c>
      <c r="H144" s="210" t="s">
        <v>683</v>
      </c>
      <c r="I144" s="213" t="s">
        <v>1026</v>
      </c>
      <c r="J144" s="210">
        <v>0.29630000000000001</v>
      </c>
    </row>
    <row r="145" spans="7:10" ht="15.9" x14ac:dyDescent="0.45">
      <c r="G145" s="210" t="s">
        <v>872</v>
      </c>
      <c r="H145" s="210" t="s">
        <v>684</v>
      </c>
      <c r="I145" s="213" t="s">
        <v>1027</v>
      </c>
      <c r="J145" s="210">
        <v>0.36720000000000003</v>
      </c>
    </row>
    <row r="146" spans="7:10" ht="15.9" x14ac:dyDescent="0.45">
      <c r="G146" s="210" t="s">
        <v>873</v>
      </c>
      <c r="H146" s="210" t="s">
        <v>685</v>
      </c>
      <c r="I146" s="213" t="s">
        <v>1028</v>
      </c>
      <c r="J146" s="210">
        <v>2.137E-2</v>
      </c>
    </row>
    <row r="147" spans="7:10" ht="15.9" x14ac:dyDescent="0.45">
      <c r="G147" s="210" t="s">
        <v>874</v>
      </c>
      <c r="H147" s="210" t="s">
        <v>686</v>
      </c>
      <c r="I147" s="213" t="s">
        <v>1029</v>
      </c>
      <c r="J147" s="210">
        <v>0.12672</v>
      </c>
    </row>
    <row r="148" spans="7:10" ht="15.9" x14ac:dyDescent="0.45">
      <c r="G148" s="210" t="s">
        <v>875</v>
      </c>
      <c r="H148" s="210" t="s">
        <v>687</v>
      </c>
      <c r="I148" s="213" t="s">
        <v>1030</v>
      </c>
      <c r="J148" s="210">
        <v>2.9239999999999999E-2</v>
      </c>
    </row>
    <row r="149" spans="7:10" ht="15.9" x14ac:dyDescent="0.45">
      <c r="G149" s="210" t="s">
        <v>876</v>
      </c>
      <c r="H149" s="210" t="s">
        <v>688</v>
      </c>
      <c r="I149" s="213" t="s">
        <v>1031</v>
      </c>
      <c r="J149" s="210">
        <v>3.3E-4</v>
      </c>
    </row>
    <row r="150" spans="7:10" ht="15.9" x14ac:dyDescent="0.45">
      <c r="G150" s="210" t="s">
        <v>877</v>
      </c>
      <c r="H150" s="210" t="s">
        <v>689</v>
      </c>
      <c r="I150" s="213" t="s">
        <v>1032</v>
      </c>
      <c r="J150" s="210">
        <v>2.053E-2</v>
      </c>
    </row>
    <row r="151" spans="7:10" ht="15.9" x14ac:dyDescent="0.45">
      <c r="G151" s="210" t="s">
        <v>878</v>
      </c>
      <c r="H151" s="210" t="s">
        <v>690</v>
      </c>
      <c r="I151" s="213" t="s">
        <v>1033</v>
      </c>
      <c r="J151" s="210">
        <v>2.4000000000000001E-4</v>
      </c>
    </row>
    <row r="152" spans="7:10" ht="15.9" x14ac:dyDescent="0.45">
      <c r="G152" s="210" t="s">
        <v>879</v>
      </c>
      <c r="H152" s="210" t="s">
        <v>691</v>
      </c>
      <c r="I152" s="213" t="s">
        <v>917</v>
      </c>
      <c r="J152" s="210">
        <v>0.86001000000000005</v>
      </c>
    </row>
    <row r="153" spans="7:10" ht="15.9" x14ac:dyDescent="0.45">
      <c r="G153" s="210" t="s">
        <v>880</v>
      </c>
      <c r="H153" s="210" t="s">
        <v>692</v>
      </c>
      <c r="I153" s="213" t="s">
        <v>1034</v>
      </c>
      <c r="J153" s="210">
        <v>2.1260000000000001E-2</v>
      </c>
    </row>
    <row r="154" spans="7:10" ht="15.9" x14ac:dyDescent="0.45">
      <c r="G154" s="210" t="s">
        <v>881</v>
      </c>
      <c r="H154" s="210" t="s">
        <v>693</v>
      </c>
      <c r="I154" s="213" t="s">
        <v>1035</v>
      </c>
      <c r="J154" s="210">
        <v>6.9999999999999994E-5</v>
      </c>
    </row>
    <row r="155" spans="7:10" ht="15.9" x14ac:dyDescent="0.45">
      <c r="G155" s="210" t="s">
        <v>882</v>
      </c>
      <c r="H155" s="210" t="s">
        <v>694</v>
      </c>
      <c r="I155" s="213" t="s">
        <v>1036</v>
      </c>
      <c r="J155" s="210">
        <v>3.0000000000000001E-5</v>
      </c>
    </row>
    <row r="156" spans="7:10" ht="15.9" x14ac:dyDescent="0.45">
      <c r="G156" s="210" t="s">
        <v>883</v>
      </c>
      <c r="H156" s="210" t="s">
        <v>695</v>
      </c>
      <c r="I156" s="213" t="s">
        <v>1037</v>
      </c>
      <c r="J156" s="210">
        <v>7.1999999999999998E-3</v>
      </c>
    </row>
    <row r="157" spans="7:10" ht="15.9" x14ac:dyDescent="0.45">
      <c r="G157" s="210" t="s">
        <v>884</v>
      </c>
      <c r="H157" s="210" t="s">
        <v>696</v>
      </c>
      <c r="I157" s="213" t="s">
        <v>1038</v>
      </c>
      <c r="J157" s="210">
        <v>0.31236000000000003</v>
      </c>
    </row>
    <row r="158" spans="7:10" ht="15.9" x14ac:dyDescent="0.45">
      <c r="G158" s="210" t="s">
        <v>885</v>
      </c>
      <c r="H158" s="210" t="s">
        <v>697</v>
      </c>
      <c r="I158" s="213" t="s">
        <v>1039</v>
      </c>
      <c r="J158" s="210">
        <v>1.5200000000000001E-3</v>
      </c>
    </row>
    <row r="159" spans="7:10" ht="15.9" x14ac:dyDescent="0.45">
      <c r="G159" s="210" t="s">
        <v>886</v>
      </c>
      <c r="H159" s="210" t="s">
        <v>698</v>
      </c>
      <c r="I159" s="213" t="s">
        <v>1040</v>
      </c>
      <c r="J159" s="210">
        <v>32.57647</v>
      </c>
    </row>
    <row r="160" spans="7:10" ht="15.9" x14ac:dyDescent="0.45">
      <c r="G160" s="210" t="s">
        <v>887</v>
      </c>
      <c r="H160" s="210" t="s">
        <v>699</v>
      </c>
      <c r="I160" s="213" t="s">
        <v>1041</v>
      </c>
      <c r="J160" s="211">
        <v>2873.56322</v>
      </c>
    </row>
    <row r="161" spans="7:10" ht="15.9" x14ac:dyDescent="0.45">
      <c r="G161" s="210" t="s">
        <v>888</v>
      </c>
      <c r="H161" s="210" t="s">
        <v>700</v>
      </c>
      <c r="I161" s="213" t="s">
        <v>1042</v>
      </c>
      <c r="J161" s="210">
        <v>0.31822</v>
      </c>
    </row>
    <row r="162" spans="7:10" ht="15.9" x14ac:dyDescent="0.45">
      <c r="G162" s="210" t="s">
        <v>889</v>
      </c>
      <c r="H162" s="210" t="s">
        <v>701</v>
      </c>
      <c r="I162" s="213" t="s">
        <v>1043</v>
      </c>
      <c r="J162" s="210">
        <v>1.2236800000000001</v>
      </c>
    </row>
    <row r="163" spans="7:10" ht="15.9" x14ac:dyDescent="0.45">
      <c r="G163" s="210" t="s">
        <v>890</v>
      </c>
      <c r="H163" s="210" t="s">
        <v>702</v>
      </c>
      <c r="I163" s="213" t="s">
        <v>1044</v>
      </c>
      <c r="J163" s="210">
        <v>1.5299999999999999E-3</v>
      </c>
    </row>
    <row r="164" spans="7:10" ht="15.9" x14ac:dyDescent="0.45">
      <c r="G164" s="210" t="s">
        <v>891</v>
      </c>
      <c r="H164" s="210" t="s">
        <v>703</v>
      </c>
      <c r="I164" s="213" t="s">
        <v>1045</v>
      </c>
      <c r="J164" s="210">
        <v>8.3800000000000003E-3</v>
      </c>
    </row>
    <row r="165" spans="7:10" ht="15.9" x14ac:dyDescent="0.45">
      <c r="G165" s="210" t="s">
        <v>892</v>
      </c>
      <c r="H165" s="210" t="s">
        <v>704</v>
      </c>
      <c r="I165" s="213" t="s">
        <v>1046</v>
      </c>
      <c r="J165" s="210">
        <v>3.5599999999999998E-3</v>
      </c>
    </row>
    <row r="166" spans="7:10" ht="15.9" x14ac:dyDescent="0.45">
      <c r="G166" s="210" t="s">
        <v>893</v>
      </c>
      <c r="H166" s="210" t="s">
        <v>705</v>
      </c>
      <c r="I166" s="213" t="s">
        <v>1047</v>
      </c>
      <c r="J166" s="210">
        <v>4.8189999999999997E-2</v>
      </c>
    </row>
    <row r="167" spans="7:10" ht="15.9" x14ac:dyDescent="0.45">
      <c r="G167" s="210" t="s">
        <v>894</v>
      </c>
      <c r="H167" s="210" t="s">
        <v>706</v>
      </c>
      <c r="I167" s="213" t="s">
        <v>1048</v>
      </c>
      <c r="J167" s="210">
        <v>1E-4</v>
      </c>
    </row>
    <row r="168" spans="7:10" ht="15.9" x14ac:dyDescent="0.45">
      <c r="G168" s="210" t="s">
        <v>895</v>
      </c>
      <c r="H168" s="210" t="s">
        <v>707</v>
      </c>
      <c r="I168" s="213" t="s">
        <v>1049</v>
      </c>
      <c r="J168" s="210">
        <v>3.771E-2</v>
      </c>
    </row>
    <row r="169" spans="7:10" ht="15.9" x14ac:dyDescent="0.45">
      <c r="G169" s="210" t="s">
        <v>896</v>
      </c>
      <c r="H169" s="210" t="s">
        <v>708</v>
      </c>
      <c r="I169" s="213" t="s">
        <v>1050</v>
      </c>
      <c r="J169" s="210">
        <v>2.6700000000000001E-3</v>
      </c>
    </row>
  </sheetData>
  <sheetProtection algorithmName="SHA-512" hashValue="spReGGHbWNGzOSGSGaeLO4ySpaRp7pMZqwGfbvRnJxgMdHcHWjR+AsoXGMSE0iN+JrqjeXjnCW+0HiRURGIl7g==" saltValue="LSY+vBarZ3lvmeNH9T5P8w==" spinCount="100000" sheet="1" selectLockedCells="1" selectUnlockedCells="1"/>
  <hyperlinks>
    <hyperlink ref="A14" r:id="rId1" xr:uid="{00000000-0004-0000-0200-000000000000}"/>
    <hyperlink ref="A15" r:id="rId2" xr:uid="{00000000-0004-0000-0200-000001000000}"/>
  </hyperlinks>
  <pageMargins left="0.7" right="0.7" top="0.78740157499999996" bottom="0.78740157499999996"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4" tint="-0.249977111117893"/>
  </sheetPr>
  <dimension ref="A1:H34"/>
  <sheetViews>
    <sheetView zoomScaleNormal="100" workbookViewId="0">
      <pane ySplit="1" topLeftCell="A2" activePane="bottomLeft" state="frozen"/>
      <selection activeCell="A8" sqref="A8"/>
      <selection pane="bottomLeft" activeCell="C10" sqref="C10"/>
    </sheetView>
  </sheetViews>
  <sheetFormatPr baseColWidth="10" defaultColWidth="11.4609375" defaultRowHeight="14.6" x14ac:dyDescent="0.4"/>
  <cols>
    <col min="1" max="1" width="6.4609375" style="1" customWidth="1"/>
    <col min="2" max="2" width="16.4609375" style="2" customWidth="1"/>
    <col min="3" max="3" width="80.3046875" style="2" customWidth="1"/>
    <col min="4" max="4" width="16" style="95" customWidth="1"/>
    <col min="5" max="5" width="16.69140625" style="95" customWidth="1"/>
    <col min="6" max="6" width="25.69140625" style="95" customWidth="1"/>
    <col min="7" max="7" width="7.53515625" style="95" customWidth="1"/>
    <col min="9" max="16384" width="11.4609375" style="2"/>
  </cols>
  <sheetData>
    <row r="1" spans="1:8" s="1" customFormat="1" ht="29.15" x14ac:dyDescent="0.4">
      <c r="A1" s="163" t="s">
        <v>20</v>
      </c>
      <c r="B1" s="163" t="s">
        <v>311</v>
      </c>
      <c r="C1" s="163" t="s">
        <v>139</v>
      </c>
      <c r="D1" s="164" t="s">
        <v>140</v>
      </c>
      <c r="E1" s="164" t="s">
        <v>446</v>
      </c>
      <c r="F1" s="164" t="s">
        <v>198</v>
      </c>
      <c r="G1" s="164" t="s">
        <v>252</v>
      </c>
    </row>
    <row r="2" spans="1:8" x14ac:dyDescent="0.4">
      <c r="A2" s="1" t="s">
        <v>38</v>
      </c>
      <c r="B2" s="156" t="s">
        <v>92</v>
      </c>
      <c r="C2" s="157" t="s">
        <v>1051</v>
      </c>
      <c r="D2" s="158">
        <v>43894</v>
      </c>
      <c r="E2" s="158">
        <v>46027</v>
      </c>
      <c r="F2" s="95" t="s">
        <v>212</v>
      </c>
      <c r="G2" s="95" t="s">
        <v>253</v>
      </c>
      <c r="H2" s="2"/>
    </row>
    <row r="3" spans="1:8" x14ac:dyDescent="0.4">
      <c r="A3" s="1" t="s">
        <v>6</v>
      </c>
      <c r="B3" s="156" t="s">
        <v>197</v>
      </c>
      <c r="C3" s="157" t="s">
        <v>1054</v>
      </c>
      <c r="D3" s="158">
        <v>46027</v>
      </c>
      <c r="E3" s="158">
        <v>46027</v>
      </c>
      <c r="F3" s="95" t="s">
        <v>199</v>
      </c>
      <c r="G3" s="95" t="s">
        <v>253</v>
      </c>
      <c r="H3" s="2"/>
    </row>
    <row r="4" spans="1:8" x14ac:dyDescent="0.4">
      <c r="A4" s="1" t="s">
        <v>10</v>
      </c>
      <c r="B4" s="156" t="s">
        <v>98</v>
      </c>
      <c r="C4" s="157" t="s">
        <v>1070</v>
      </c>
      <c r="D4" s="158">
        <v>46048</v>
      </c>
      <c r="E4" s="158">
        <v>46048</v>
      </c>
      <c r="F4" s="95" t="s">
        <v>200</v>
      </c>
      <c r="G4" s="95" t="s">
        <v>253</v>
      </c>
      <c r="H4" s="2"/>
    </row>
    <row r="5" spans="1:8" x14ac:dyDescent="0.4">
      <c r="A5" s="1" t="s">
        <v>399</v>
      </c>
      <c r="B5" s="156" t="s">
        <v>414</v>
      </c>
      <c r="C5" s="159" t="s">
        <v>481</v>
      </c>
      <c r="D5" s="158">
        <v>44928</v>
      </c>
      <c r="E5" s="158">
        <v>46027</v>
      </c>
      <c r="F5" s="95" t="s">
        <v>199</v>
      </c>
      <c r="G5" s="95" t="s">
        <v>253</v>
      </c>
      <c r="H5" s="2"/>
    </row>
    <row r="6" spans="1:8" x14ac:dyDescent="0.4">
      <c r="A6" s="1" t="s">
        <v>12</v>
      </c>
      <c r="B6" s="214" t="s">
        <v>450</v>
      </c>
      <c r="C6" s="157" t="s">
        <v>1052</v>
      </c>
      <c r="D6" s="158">
        <v>43894</v>
      </c>
      <c r="E6" s="158">
        <v>46027</v>
      </c>
      <c r="F6" s="95" t="s">
        <v>200</v>
      </c>
      <c r="G6" s="95" t="s">
        <v>254</v>
      </c>
      <c r="H6" s="2"/>
    </row>
    <row r="7" spans="1:8" x14ac:dyDescent="0.4">
      <c r="A7" s="1" t="s">
        <v>13</v>
      </c>
      <c r="B7" s="207" t="s">
        <v>87</v>
      </c>
      <c r="C7" s="157" t="s">
        <v>1071</v>
      </c>
      <c r="D7" s="158">
        <v>46071</v>
      </c>
      <c r="E7" s="158">
        <v>46071</v>
      </c>
      <c r="F7" s="95" t="s">
        <v>200</v>
      </c>
      <c r="G7" s="95" t="s">
        <v>253</v>
      </c>
      <c r="H7" s="2"/>
    </row>
    <row r="8" spans="1:8" x14ac:dyDescent="0.4">
      <c r="A8" s="1" t="s">
        <v>3</v>
      </c>
      <c r="B8" s="144" t="s">
        <v>88</v>
      </c>
      <c r="C8" s="157" t="s">
        <v>899</v>
      </c>
      <c r="D8" s="158">
        <v>45179</v>
      </c>
      <c r="E8" s="158">
        <v>46027</v>
      </c>
      <c r="F8" s="95" t="s">
        <v>199</v>
      </c>
      <c r="G8" s="95" t="s">
        <v>254</v>
      </c>
      <c r="H8" s="2"/>
    </row>
    <row r="9" spans="1:8" x14ac:dyDescent="0.4">
      <c r="A9" s="1" t="s">
        <v>14</v>
      </c>
      <c r="B9" s="156" t="s">
        <v>96</v>
      </c>
      <c r="C9" s="157" t="s">
        <v>1065</v>
      </c>
      <c r="D9" s="158">
        <v>46031</v>
      </c>
      <c r="E9" s="158">
        <v>46031</v>
      </c>
      <c r="F9" s="95" t="s">
        <v>199</v>
      </c>
      <c r="G9" s="95" t="s">
        <v>253</v>
      </c>
      <c r="H9" s="2"/>
    </row>
    <row r="10" spans="1:8" x14ac:dyDescent="0.4">
      <c r="A10" s="1" t="s">
        <v>15</v>
      </c>
      <c r="B10" s="144" t="s">
        <v>106</v>
      </c>
      <c r="C10" s="160" t="s">
        <v>476</v>
      </c>
      <c r="D10" s="158">
        <v>44897</v>
      </c>
      <c r="E10" s="158">
        <v>46027</v>
      </c>
      <c r="F10" s="95" t="s">
        <v>315</v>
      </c>
      <c r="G10" s="95" t="s">
        <v>253</v>
      </c>
      <c r="H10" s="2"/>
    </row>
    <row r="11" spans="1:8" x14ac:dyDescent="0.4">
      <c r="A11" s="1" t="s">
        <v>21</v>
      </c>
      <c r="B11" s="156" t="s">
        <v>95</v>
      </c>
      <c r="C11" s="160" t="s">
        <v>448</v>
      </c>
      <c r="D11" s="158">
        <v>43572</v>
      </c>
      <c r="E11" s="158">
        <v>46027</v>
      </c>
      <c r="F11" s="95" t="s">
        <v>200</v>
      </c>
      <c r="G11" s="95" t="s">
        <v>253</v>
      </c>
      <c r="H11" s="2"/>
    </row>
    <row r="12" spans="1:8" x14ac:dyDescent="0.4">
      <c r="A12" s="1" t="s">
        <v>416</v>
      </c>
      <c r="B12" s="207" t="s">
        <v>415</v>
      </c>
      <c r="C12" s="157" t="s">
        <v>725</v>
      </c>
      <c r="D12" s="158">
        <v>45658</v>
      </c>
      <c r="E12" s="158">
        <v>46027</v>
      </c>
      <c r="F12" s="95" t="s">
        <v>199</v>
      </c>
      <c r="G12" s="95" t="s">
        <v>253</v>
      </c>
      <c r="H12" s="2"/>
    </row>
    <row r="13" spans="1:8" x14ac:dyDescent="0.4">
      <c r="A13" s="1" t="s">
        <v>23</v>
      </c>
      <c r="B13" s="144" t="s">
        <v>91</v>
      </c>
      <c r="C13" s="157" t="s">
        <v>507</v>
      </c>
      <c r="D13" s="158">
        <v>45122</v>
      </c>
      <c r="E13" s="158">
        <v>46027</v>
      </c>
      <c r="F13" s="95" t="s">
        <v>200</v>
      </c>
      <c r="G13" s="95" t="s">
        <v>253</v>
      </c>
      <c r="H13" s="2"/>
    </row>
    <row r="14" spans="1:8" x14ac:dyDescent="0.4">
      <c r="A14" s="1" t="s">
        <v>16</v>
      </c>
      <c r="B14" s="207" t="s">
        <v>86</v>
      </c>
      <c r="C14" s="157" t="s">
        <v>1055</v>
      </c>
      <c r="D14" s="158">
        <v>46027</v>
      </c>
      <c r="E14" s="158">
        <v>46027</v>
      </c>
      <c r="F14" s="95" t="s">
        <v>199</v>
      </c>
      <c r="G14" s="95" t="s">
        <v>253</v>
      </c>
      <c r="H14" s="2"/>
    </row>
    <row r="15" spans="1:8" x14ac:dyDescent="0.4">
      <c r="A15" s="1" t="s">
        <v>19</v>
      </c>
      <c r="B15" s="144" t="s">
        <v>112</v>
      </c>
      <c r="C15" s="157" t="s">
        <v>900</v>
      </c>
      <c r="D15" s="158">
        <v>43894</v>
      </c>
      <c r="E15" s="158">
        <v>46027</v>
      </c>
      <c r="F15" s="95" t="s">
        <v>200</v>
      </c>
      <c r="G15" s="95" t="s">
        <v>254</v>
      </c>
      <c r="H15" s="2"/>
    </row>
    <row r="16" spans="1:8" x14ac:dyDescent="0.4">
      <c r="A16" s="1" t="s">
        <v>78</v>
      </c>
      <c r="B16" s="144" t="s">
        <v>97</v>
      </c>
      <c r="C16" s="157" t="s">
        <v>709</v>
      </c>
      <c r="D16" s="158">
        <v>45855</v>
      </c>
      <c r="E16" s="158">
        <v>46027</v>
      </c>
      <c r="F16" s="95" t="s">
        <v>200</v>
      </c>
      <c r="G16" s="95" t="s">
        <v>253</v>
      </c>
      <c r="H16" s="2"/>
    </row>
    <row r="17" spans="1:8" x14ac:dyDescent="0.4">
      <c r="A17" s="1" t="s">
        <v>24</v>
      </c>
      <c r="B17" s="156" t="s">
        <v>113</v>
      </c>
      <c r="C17" s="157" t="s">
        <v>511</v>
      </c>
      <c r="D17" s="158">
        <v>45855</v>
      </c>
      <c r="E17" s="158">
        <v>46027</v>
      </c>
      <c r="F17" s="95" t="s">
        <v>200</v>
      </c>
      <c r="G17" s="95" t="s">
        <v>253</v>
      </c>
      <c r="H17" s="2"/>
    </row>
    <row r="18" spans="1:8" x14ac:dyDescent="0.4">
      <c r="A18" s="1" t="s">
        <v>28</v>
      </c>
      <c r="B18" s="156" t="s">
        <v>85</v>
      </c>
      <c r="C18" s="160" t="s">
        <v>1056</v>
      </c>
      <c r="D18" s="158">
        <v>46027</v>
      </c>
      <c r="E18" s="158">
        <v>46027</v>
      </c>
      <c r="F18" s="95" t="s">
        <v>200</v>
      </c>
      <c r="G18" s="95" t="s">
        <v>253</v>
      </c>
      <c r="H18" s="2"/>
    </row>
    <row r="19" spans="1:8" x14ac:dyDescent="0.4">
      <c r="A19" s="1" t="s">
        <v>25</v>
      </c>
      <c r="B19" s="156" t="s">
        <v>99</v>
      </c>
      <c r="C19" s="157" t="s">
        <v>518</v>
      </c>
      <c r="D19" s="158">
        <v>45347</v>
      </c>
      <c r="E19" s="158">
        <v>46027</v>
      </c>
      <c r="F19" s="95" t="s">
        <v>199</v>
      </c>
      <c r="G19" s="95" t="s">
        <v>253</v>
      </c>
      <c r="H19" s="2"/>
    </row>
    <row r="20" spans="1:8" x14ac:dyDescent="0.4">
      <c r="A20" s="1" t="s">
        <v>30</v>
      </c>
      <c r="B20" s="161" t="s">
        <v>93</v>
      </c>
      <c r="C20" s="157" t="s">
        <v>1061</v>
      </c>
      <c r="D20" s="158">
        <v>46027</v>
      </c>
      <c r="E20" s="158">
        <v>46027</v>
      </c>
      <c r="F20" s="95" t="s">
        <v>200</v>
      </c>
      <c r="G20" s="95" t="s">
        <v>253</v>
      </c>
      <c r="H20" s="2"/>
    </row>
    <row r="21" spans="1:8" x14ac:dyDescent="0.4">
      <c r="A21" s="1" t="s">
        <v>80</v>
      </c>
      <c r="B21" s="207" t="s">
        <v>101</v>
      </c>
      <c r="C21" s="157" t="s">
        <v>517</v>
      </c>
      <c r="D21" s="158">
        <v>44393</v>
      </c>
      <c r="E21" s="158">
        <v>46027</v>
      </c>
      <c r="F21" s="95" t="s">
        <v>200</v>
      </c>
      <c r="G21" s="95" t="s">
        <v>253</v>
      </c>
      <c r="H21" s="2"/>
    </row>
    <row r="22" spans="1:8" x14ac:dyDescent="0.4">
      <c r="A22" s="1" t="s">
        <v>32</v>
      </c>
      <c r="B22" s="156" t="s">
        <v>102</v>
      </c>
      <c r="C22" s="160" t="s">
        <v>1062</v>
      </c>
      <c r="D22" s="158">
        <v>43894</v>
      </c>
      <c r="E22" s="158">
        <v>46027</v>
      </c>
      <c r="F22" s="95" t="s">
        <v>199</v>
      </c>
      <c r="G22" s="95" t="s">
        <v>253</v>
      </c>
      <c r="H22" s="2"/>
    </row>
    <row r="23" spans="1:8" x14ac:dyDescent="0.4">
      <c r="A23" s="1" t="s">
        <v>31</v>
      </c>
      <c r="B23" s="156" t="s">
        <v>100</v>
      </c>
      <c r="C23" s="157" t="s">
        <v>729</v>
      </c>
      <c r="D23" s="158">
        <v>45658</v>
      </c>
      <c r="E23" s="158">
        <v>46027</v>
      </c>
      <c r="F23" s="95" t="s">
        <v>200</v>
      </c>
      <c r="G23" s="95" t="s">
        <v>253</v>
      </c>
      <c r="H23" s="2"/>
    </row>
    <row r="24" spans="1:8" x14ac:dyDescent="0.4">
      <c r="A24" s="1" t="s">
        <v>33</v>
      </c>
      <c r="B24" s="156" t="s">
        <v>103</v>
      </c>
      <c r="C24" s="157" t="s">
        <v>1063</v>
      </c>
      <c r="D24" s="158">
        <v>43894</v>
      </c>
      <c r="E24" s="158">
        <v>46027</v>
      </c>
      <c r="F24" s="95" t="s">
        <v>200</v>
      </c>
      <c r="G24" s="95" t="s">
        <v>253</v>
      </c>
      <c r="H24" s="2"/>
    </row>
    <row r="25" spans="1:8" x14ac:dyDescent="0.4">
      <c r="A25" s="1" t="s">
        <v>34</v>
      </c>
      <c r="B25" s="156" t="s">
        <v>84</v>
      </c>
      <c r="C25" s="157" t="s">
        <v>314</v>
      </c>
      <c r="D25" s="158">
        <v>43894</v>
      </c>
      <c r="E25" s="158">
        <v>46027</v>
      </c>
      <c r="F25" s="95" t="s">
        <v>199</v>
      </c>
      <c r="G25" s="95" t="s">
        <v>253</v>
      </c>
      <c r="H25" s="2"/>
    </row>
    <row r="26" spans="1:8" x14ac:dyDescent="0.4">
      <c r="A26" s="1" t="s">
        <v>35</v>
      </c>
      <c r="B26" s="144" t="s">
        <v>94</v>
      </c>
      <c r="C26" s="157" t="s">
        <v>1067</v>
      </c>
      <c r="D26" s="158">
        <v>46031</v>
      </c>
      <c r="E26" s="158">
        <v>46031</v>
      </c>
      <c r="F26" s="95" t="s">
        <v>199</v>
      </c>
      <c r="G26" s="95" t="s">
        <v>253</v>
      </c>
      <c r="H26" s="2"/>
    </row>
    <row r="27" spans="1:8" x14ac:dyDescent="0.4">
      <c r="A27" s="1" t="s">
        <v>37</v>
      </c>
      <c r="B27" s="207" t="s">
        <v>90</v>
      </c>
      <c r="C27" s="160" t="s">
        <v>115</v>
      </c>
      <c r="D27" s="158">
        <v>43894</v>
      </c>
      <c r="E27" s="158">
        <v>46027</v>
      </c>
      <c r="F27" s="95" t="s">
        <v>200</v>
      </c>
      <c r="G27" s="95" t="s">
        <v>253</v>
      </c>
      <c r="H27" s="2"/>
    </row>
    <row r="28" spans="1:8" x14ac:dyDescent="0.4">
      <c r="A28" s="1" t="s">
        <v>39</v>
      </c>
      <c r="B28" s="162" t="s">
        <v>89</v>
      </c>
      <c r="C28" t="s">
        <v>482</v>
      </c>
      <c r="D28" s="158">
        <v>43894</v>
      </c>
      <c r="E28" s="158">
        <v>46027</v>
      </c>
      <c r="F28" s="95" t="s">
        <v>200</v>
      </c>
      <c r="G28" s="95" t="s">
        <v>254</v>
      </c>
      <c r="H28" s="2"/>
    </row>
    <row r="29" spans="1:8" x14ac:dyDescent="0.4">
      <c r="A29" s="1" t="s">
        <v>40</v>
      </c>
      <c r="B29" s="156" t="s">
        <v>116</v>
      </c>
      <c r="C29" s="160" t="s">
        <v>434</v>
      </c>
      <c r="D29" s="158">
        <v>43894</v>
      </c>
      <c r="E29" s="158">
        <v>46027</v>
      </c>
      <c r="F29" s="95" t="s">
        <v>200</v>
      </c>
      <c r="G29" s="95" t="s">
        <v>253</v>
      </c>
      <c r="H29" s="2"/>
    </row>
    <row r="30" spans="1:8" x14ac:dyDescent="0.4">
      <c r="A30" s="1" t="s">
        <v>137</v>
      </c>
      <c r="B30" s="144" t="s">
        <v>138</v>
      </c>
      <c r="C30" s="157" t="s">
        <v>449</v>
      </c>
      <c r="D30" s="158">
        <v>43894</v>
      </c>
      <c r="E30" s="158">
        <v>46027</v>
      </c>
      <c r="F30" s="95" t="s">
        <v>199</v>
      </c>
      <c r="G30" s="95" t="s">
        <v>253</v>
      </c>
      <c r="H30" s="2"/>
    </row>
    <row r="31" spans="1:8" x14ac:dyDescent="0.4">
      <c r="A31" s="1" t="s">
        <v>43</v>
      </c>
      <c r="B31" s="161" t="s">
        <v>83</v>
      </c>
      <c r="C31" s="157" t="s">
        <v>464</v>
      </c>
      <c r="D31" s="158">
        <v>44564</v>
      </c>
      <c r="E31" s="158">
        <v>46027</v>
      </c>
      <c r="F31" s="95" t="s">
        <v>199</v>
      </c>
      <c r="G31" s="95" t="s">
        <v>253</v>
      </c>
      <c r="H31" s="2"/>
    </row>
    <row r="32" spans="1:8" x14ac:dyDescent="0.4">
      <c r="A32" s="1" t="s">
        <v>42</v>
      </c>
      <c r="B32" s="156" t="s">
        <v>82</v>
      </c>
      <c r="C32" s="157" t="s">
        <v>521</v>
      </c>
      <c r="D32" s="158">
        <v>45351</v>
      </c>
      <c r="E32" s="158">
        <v>46027</v>
      </c>
      <c r="F32" s="95" t="s">
        <v>199</v>
      </c>
      <c r="G32" s="95" t="s">
        <v>253</v>
      </c>
      <c r="H32" s="2"/>
    </row>
    <row r="33" spans="1:8" x14ac:dyDescent="0.4">
      <c r="A33" s="1" t="s">
        <v>41</v>
      </c>
      <c r="B33" s="156" t="s">
        <v>87</v>
      </c>
      <c r="C33" s="157" t="s">
        <v>117</v>
      </c>
      <c r="D33" s="158">
        <v>45367</v>
      </c>
      <c r="E33" s="158">
        <v>46027</v>
      </c>
      <c r="F33" s="95" t="s">
        <v>199</v>
      </c>
      <c r="G33" s="95" t="s">
        <v>254</v>
      </c>
      <c r="H33" s="2"/>
    </row>
    <row r="34" spans="1:8" x14ac:dyDescent="0.4">
      <c r="A34" s="1" t="s">
        <v>44</v>
      </c>
      <c r="B34" s="156" t="s">
        <v>81</v>
      </c>
      <c r="C34" s="157" t="s">
        <v>898</v>
      </c>
      <c r="D34" s="158">
        <v>45756</v>
      </c>
      <c r="E34" s="158">
        <v>46027</v>
      </c>
      <c r="F34" s="95" t="s">
        <v>199</v>
      </c>
      <c r="G34" s="95" t="s">
        <v>253</v>
      </c>
      <c r="H34" s="2"/>
    </row>
  </sheetData>
  <sheetProtection selectLockedCells="1" autoFilter="0"/>
  <hyperlinks>
    <hyperlink ref="B3" r:id="rId1" display="AFMPS" xr:uid="{00000000-0004-0000-0300-000000000000}"/>
    <hyperlink ref="B17" r:id="rId2" xr:uid="{00000000-0004-0000-0300-000001000000}"/>
    <hyperlink ref="B32" r:id="rId3" location="c1534" xr:uid="{00000000-0004-0000-0300-000002000000}"/>
    <hyperlink ref="B34" r:id="rId4" xr:uid="{00000000-0004-0000-0300-000003000000}"/>
    <hyperlink ref="B33" r:id="rId5" xr:uid="{00000000-0004-0000-0300-000004000000}"/>
    <hyperlink ref="B29" r:id="rId6" display="ANM" xr:uid="{00000000-0004-0000-0300-000005000000}"/>
    <hyperlink ref="B25" r:id="rId7" xr:uid="{00000000-0004-0000-0300-000006000000}"/>
    <hyperlink ref="B24" r:id="rId8" xr:uid="{00000000-0004-0000-0300-000007000000}"/>
    <hyperlink ref="B23" r:id="rId9" xr:uid="{00000000-0004-0000-0300-000008000000}"/>
    <hyperlink ref="B22" r:id="rId10" xr:uid="{00000000-0004-0000-0300-000009000000}"/>
    <hyperlink ref="B19" r:id="rId11" xr:uid="{00000000-0004-0000-0300-00000A000000}"/>
    <hyperlink ref="B11" r:id="rId12" xr:uid="{00000000-0004-0000-0300-00000B000000}"/>
    <hyperlink ref="B9" r:id="rId13" xr:uid="{00000000-0004-0000-0300-00000C000000}"/>
    <hyperlink ref="B4" r:id="rId14" xr:uid="{00000000-0004-0000-0300-00000D000000}"/>
    <hyperlink ref="B2" r:id="rId15" xr:uid="{00000000-0004-0000-0300-00000E000000}"/>
    <hyperlink ref="B18" r:id="rId16" xr:uid="{00000000-0004-0000-0300-00000F000000}"/>
    <hyperlink ref="B5" r:id="rId17" xr:uid="{00000000-0004-0000-0300-000010000000}"/>
    <hyperlink ref="B20" r:id="rId18" xr:uid="{00000000-0004-0000-0300-000011000000}"/>
    <hyperlink ref="B31" r:id="rId19" xr:uid="{00000000-0004-0000-0300-000012000000}"/>
    <hyperlink ref="B16" r:id="rId20" xr:uid="{00000000-0004-0000-0300-000013000000}"/>
    <hyperlink ref="B28" r:id="rId21" xr:uid="{00000000-0004-0000-0300-000014000000}"/>
    <hyperlink ref="B15" r:id="rId22" xr:uid="{00000000-0004-0000-0300-000016000000}"/>
    <hyperlink ref="B10" r:id="rId23" xr:uid="{00000000-0004-0000-0300-000017000000}"/>
    <hyperlink ref="B8" r:id="rId24" xr:uid="{00000000-0004-0000-0300-000018000000}"/>
    <hyperlink ref="B13" r:id="rId25" xr:uid="{00000000-0004-0000-0300-000019000000}"/>
    <hyperlink ref="B26" r:id="rId26" xr:uid="{00000000-0004-0000-0300-00001A000000}"/>
    <hyperlink ref="B30" r:id="rId27" xr:uid="{00000000-0004-0000-0300-00001B000000}"/>
    <hyperlink ref="B7" r:id="rId28" xr:uid="{00000000-0004-0000-0300-00001C000000}"/>
    <hyperlink ref="B12" r:id="rId29" xr:uid="{00000000-0004-0000-0300-00001D000000}"/>
    <hyperlink ref="B14" r:id="rId30" xr:uid="{00000000-0004-0000-0300-00001E000000}"/>
    <hyperlink ref="B27" r:id="rId31" xr:uid="{00000000-0004-0000-0300-00001F000000}"/>
    <hyperlink ref="B6" r:id="rId32" xr:uid="{BFD4025C-819F-45F9-94ED-9824A3396158}"/>
    <hyperlink ref="B21" r:id="rId33" xr:uid="{8D6FAC87-C348-444E-9C0B-8BDA290B71FA}"/>
  </hyperlinks>
  <pageMargins left="0.7" right="0.7" top="0.78740157499999996" bottom="0.78740157499999996" header="0.3" footer="0.3"/>
  <pageSetup paperSize="9" orientation="portrait" r:id="rId34"/>
  <tableParts count="1">
    <tablePart r:id="rId3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5" tint="-0.249977111117893"/>
  </sheetPr>
  <dimension ref="A1:B12"/>
  <sheetViews>
    <sheetView workbookViewId="0">
      <pane ySplit="1" topLeftCell="A2" activePane="bottomLeft" state="frozen"/>
      <selection activeCell="A8" sqref="A8"/>
      <selection pane="bottomLeft" activeCell="B8" sqref="B8"/>
    </sheetView>
  </sheetViews>
  <sheetFormatPr baseColWidth="10" defaultColWidth="11.4609375" defaultRowHeight="14.6" x14ac:dyDescent="0.4"/>
  <cols>
    <col min="1" max="1" width="13" style="1" customWidth="1"/>
    <col min="2" max="2" width="130.3046875" style="3" customWidth="1"/>
    <col min="3" max="16384" width="11.4609375" style="3"/>
  </cols>
  <sheetData>
    <row r="1" spans="1:2" ht="39" customHeight="1" x14ac:dyDescent="0.4">
      <c r="A1" s="85" t="s">
        <v>374</v>
      </c>
      <c r="B1" s="86"/>
    </row>
    <row r="2" spans="1:2" x14ac:dyDescent="0.4">
      <c r="A2" s="27" t="s">
        <v>114</v>
      </c>
      <c r="B2" s="28" t="s">
        <v>210</v>
      </c>
    </row>
    <row r="3" spans="1:2" ht="169.5" customHeight="1" x14ac:dyDescent="0.4">
      <c r="A3" s="22" t="s">
        <v>372</v>
      </c>
      <c r="B3" s="23" t="s">
        <v>373</v>
      </c>
    </row>
    <row r="4" spans="1:2" ht="17.25" customHeight="1" x14ac:dyDescent="0.4">
      <c r="A4" s="24" t="s">
        <v>312</v>
      </c>
      <c r="B4" s="23"/>
    </row>
    <row r="5" spans="1:2" ht="102" x14ac:dyDescent="0.4">
      <c r="A5" s="22" t="s">
        <v>366</v>
      </c>
      <c r="B5" s="23" t="s">
        <v>201</v>
      </c>
    </row>
    <row r="6" spans="1:2" ht="29.15" x14ac:dyDescent="0.4">
      <c r="A6" s="22" t="s">
        <v>367</v>
      </c>
      <c r="B6" s="23" t="s">
        <v>202</v>
      </c>
    </row>
    <row r="7" spans="1:2" ht="29.15" x14ac:dyDescent="0.4">
      <c r="A7" s="22" t="s">
        <v>368</v>
      </c>
      <c r="B7" s="23" t="s">
        <v>203</v>
      </c>
    </row>
    <row r="8" spans="1:2" x14ac:dyDescent="0.4">
      <c r="A8" s="22" t="s">
        <v>338</v>
      </c>
      <c r="B8" s="23" t="s">
        <v>204</v>
      </c>
    </row>
    <row r="9" spans="1:2" ht="29.15" x14ac:dyDescent="0.4">
      <c r="A9" s="22" t="s">
        <v>369</v>
      </c>
      <c r="B9" s="23" t="s">
        <v>205</v>
      </c>
    </row>
    <row r="10" spans="1:2" ht="29.15" x14ac:dyDescent="0.4">
      <c r="A10" s="22" t="s">
        <v>370</v>
      </c>
      <c r="B10" s="23" t="s">
        <v>206</v>
      </c>
    </row>
    <row r="11" spans="1:2" ht="43.75" x14ac:dyDescent="0.4">
      <c r="A11" s="22" t="s">
        <v>371</v>
      </c>
      <c r="B11" s="23" t="s">
        <v>207</v>
      </c>
    </row>
    <row r="12" spans="1:2" ht="29.15" x14ac:dyDescent="0.4">
      <c r="A12" s="25" t="s">
        <v>357</v>
      </c>
      <c r="B12" s="26" t="s">
        <v>208</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5" tint="-0.249977111117893"/>
  </sheetPr>
  <dimension ref="A1:B4"/>
  <sheetViews>
    <sheetView workbookViewId="0">
      <pane ySplit="1" topLeftCell="A2" activePane="bottomLeft" state="frozen"/>
      <selection activeCell="A8" sqref="A8"/>
      <selection pane="bottomLeft" activeCell="A6" sqref="A6"/>
    </sheetView>
  </sheetViews>
  <sheetFormatPr baseColWidth="10" defaultColWidth="11.4609375" defaultRowHeight="14.6" x14ac:dyDescent="0.4"/>
  <cols>
    <col min="1" max="1" width="51.07421875" style="1" customWidth="1"/>
    <col min="2" max="2" width="43.4609375" style="2" customWidth="1"/>
    <col min="3" max="16384" width="11.4609375" style="3"/>
  </cols>
  <sheetData>
    <row r="1" spans="1:2" ht="35.25" customHeight="1" x14ac:dyDescent="0.4">
      <c r="A1" s="87" t="s">
        <v>535</v>
      </c>
      <c r="B1" s="88"/>
    </row>
    <row r="2" spans="1:2" x14ac:dyDescent="0.4">
      <c r="A2" s="33" t="s">
        <v>114</v>
      </c>
      <c r="B2" s="34" t="s">
        <v>530</v>
      </c>
    </row>
    <row r="3" spans="1:2" x14ac:dyDescent="0.4">
      <c r="A3" s="47" t="s">
        <v>531</v>
      </c>
      <c r="B3" s="129" t="s">
        <v>533</v>
      </c>
    </row>
    <row r="4" spans="1:2" x14ac:dyDescent="0.4">
      <c r="A4" s="127" t="s">
        <v>534</v>
      </c>
      <c r="B4" s="128" t="s">
        <v>532</v>
      </c>
    </row>
  </sheetData>
  <sheetProtection selectLockedCells="1" selectUnlockedCells="1"/>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D12"/>
  <sheetViews>
    <sheetView workbookViewId="0">
      <pane ySplit="1" topLeftCell="A2" activePane="bottomLeft" state="frozen"/>
      <selection activeCell="A8" sqref="A8"/>
      <selection pane="bottomLeft" activeCell="B6" sqref="B6"/>
    </sheetView>
  </sheetViews>
  <sheetFormatPr baseColWidth="10" defaultColWidth="11.4609375" defaultRowHeight="14.6" x14ac:dyDescent="0.4"/>
  <cols>
    <col min="1" max="1" width="11" style="1" customWidth="1"/>
    <col min="2" max="2" width="43.4609375" style="2" customWidth="1"/>
    <col min="3" max="3" width="48" style="2" customWidth="1"/>
    <col min="4" max="4" width="41.07421875" style="2" customWidth="1"/>
    <col min="5" max="16384" width="11.4609375" style="3"/>
  </cols>
  <sheetData>
    <row r="1" spans="1:4" ht="35.25" customHeight="1" x14ac:dyDescent="0.4">
      <c r="A1" s="87" t="s">
        <v>375</v>
      </c>
      <c r="B1" s="88"/>
      <c r="C1" s="88"/>
      <c r="D1" s="89"/>
    </row>
    <row r="2" spans="1:4" x14ac:dyDescent="0.4">
      <c r="A2" s="33" t="s">
        <v>114</v>
      </c>
      <c r="B2" s="34" t="s">
        <v>210</v>
      </c>
      <c r="C2" s="34" t="s">
        <v>211</v>
      </c>
      <c r="D2" s="34" t="s">
        <v>195</v>
      </c>
    </row>
    <row r="3" spans="1:4" ht="58.3" x14ac:dyDescent="0.4">
      <c r="A3" s="21" t="s">
        <v>48</v>
      </c>
      <c r="B3" s="29" t="s">
        <v>62</v>
      </c>
      <c r="C3" s="29" t="s">
        <v>50</v>
      </c>
      <c r="D3" s="30"/>
    </row>
    <row r="4" spans="1:4" ht="29.15" x14ac:dyDescent="0.4">
      <c r="A4" s="22" t="s">
        <v>49</v>
      </c>
      <c r="B4" s="31" t="s">
        <v>63</v>
      </c>
      <c r="C4" s="31" t="s">
        <v>64</v>
      </c>
      <c r="D4" s="23" t="s">
        <v>51</v>
      </c>
    </row>
    <row r="5" spans="1:4" ht="43.75" x14ac:dyDescent="0.4">
      <c r="A5" s="22" t="s">
        <v>49</v>
      </c>
      <c r="B5" s="31" t="s">
        <v>63</v>
      </c>
      <c r="C5" s="31" t="s">
        <v>52</v>
      </c>
      <c r="D5" s="23" t="s">
        <v>65</v>
      </c>
    </row>
    <row r="6" spans="1:4" ht="43.75" x14ac:dyDescent="0.4">
      <c r="A6" s="22" t="s">
        <v>53</v>
      </c>
      <c r="B6" s="31" t="s">
        <v>66</v>
      </c>
      <c r="C6" s="31" t="s">
        <v>67</v>
      </c>
      <c r="D6" s="23"/>
    </row>
    <row r="7" spans="1:4" ht="29.15" x14ac:dyDescent="0.4">
      <c r="A7" s="22" t="s">
        <v>54</v>
      </c>
      <c r="B7" s="31" t="s">
        <v>68</v>
      </c>
      <c r="C7" s="31" t="s">
        <v>47</v>
      </c>
      <c r="D7" s="23"/>
    </row>
    <row r="8" spans="1:4" ht="29.15" x14ac:dyDescent="0.4">
      <c r="A8" s="22" t="s">
        <v>55</v>
      </c>
      <c r="B8" s="31" t="s">
        <v>69</v>
      </c>
      <c r="C8" s="31" t="s">
        <v>56</v>
      </c>
      <c r="D8" s="23"/>
    </row>
    <row r="9" spans="1:4" ht="43.75" x14ac:dyDescent="0.4">
      <c r="A9" s="22" t="s">
        <v>57</v>
      </c>
      <c r="B9" s="31" t="s">
        <v>70</v>
      </c>
      <c r="C9" s="31" t="s">
        <v>58</v>
      </c>
      <c r="D9" s="23" t="s">
        <v>71</v>
      </c>
    </row>
    <row r="10" spans="1:4" ht="43.75" x14ac:dyDescent="0.4">
      <c r="A10" s="22" t="s">
        <v>57</v>
      </c>
      <c r="B10" s="31" t="s">
        <v>73</v>
      </c>
      <c r="C10" s="31" t="s">
        <v>58</v>
      </c>
      <c r="D10" s="23" t="s">
        <v>72</v>
      </c>
    </row>
    <row r="11" spans="1:4" ht="29.15" x14ac:dyDescent="0.4">
      <c r="A11" s="22" t="s">
        <v>59</v>
      </c>
      <c r="B11" s="31" t="s">
        <v>74</v>
      </c>
      <c r="C11" s="31" t="s">
        <v>60</v>
      </c>
      <c r="D11" s="23" t="s">
        <v>77</v>
      </c>
    </row>
    <row r="12" spans="1:4" x14ac:dyDescent="0.4">
      <c r="A12" s="25" t="s">
        <v>61</v>
      </c>
      <c r="B12" s="32" t="s">
        <v>75</v>
      </c>
      <c r="C12" s="32" t="s">
        <v>76</v>
      </c>
      <c r="D12" s="26"/>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5" tint="-0.249977111117893"/>
  </sheetPr>
  <dimension ref="A1:C28"/>
  <sheetViews>
    <sheetView workbookViewId="0">
      <pane ySplit="1" topLeftCell="A2" activePane="bottomLeft" state="frozen"/>
      <selection activeCell="A8" sqref="A8"/>
      <selection pane="bottomLeft" activeCell="C8" sqref="C8"/>
    </sheetView>
  </sheetViews>
  <sheetFormatPr baseColWidth="10" defaultColWidth="11.4609375" defaultRowHeight="14.6" x14ac:dyDescent="0.4"/>
  <cols>
    <col min="1" max="1" width="9.53515625" style="1" customWidth="1"/>
    <col min="2" max="2" width="52.4609375" style="2" customWidth="1"/>
    <col min="3" max="3" width="104.3046875" style="2" customWidth="1"/>
    <col min="4" max="16384" width="11.4609375" style="3"/>
  </cols>
  <sheetData>
    <row r="1" spans="1:3" ht="35.25" customHeight="1" x14ac:dyDescent="0.4">
      <c r="A1" s="90" t="s">
        <v>376</v>
      </c>
      <c r="B1" s="91"/>
      <c r="C1" s="91"/>
    </row>
    <row r="2" spans="1:3" x14ac:dyDescent="0.4">
      <c r="A2" s="21" t="s">
        <v>114</v>
      </c>
      <c r="B2" s="29" t="s">
        <v>210</v>
      </c>
      <c r="C2" s="30" t="s">
        <v>211</v>
      </c>
    </row>
    <row r="3" spans="1:3" ht="102" x14ac:dyDescent="0.4">
      <c r="A3" s="22"/>
      <c r="B3" s="35" t="s">
        <v>362</v>
      </c>
      <c r="C3" s="23" t="s">
        <v>394</v>
      </c>
    </row>
    <row r="4" spans="1:3" ht="29.15" x14ac:dyDescent="0.4">
      <c r="A4" s="22"/>
      <c r="B4" s="35" t="s">
        <v>363</v>
      </c>
      <c r="C4" s="23" t="s">
        <v>364</v>
      </c>
    </row>
    <row r="5" spans="1:3" ht="43.75" x14ac:dyDescent="0.4">
      <c r="A5" s="22"/>
      <c r="B5" s="35" t="s">
        <v>391</v>
      </c>
      <c r="C5" s="23" t="s">
        <v>392</v>
      </c>
    </row>
    <row r="6" spans="1:3" ht="29.15" x14ac:dyDescent="0.4">
      <c r="A6" s="22"/>
      <c r="B6" s="35" t="s">
        <v>365</v>
      </c>
      <c r="C6" s="23" t="s">
        <v>390</v>
      </c>
    </row>
    <row r="7" spans="1:3" ht="87.45" x14ac:dyDescent="0.4">
      <c r="A7" s="22" t="s">
        <v>326</v>
      </c>
      <c r="B7" s="35" t="s">
        <v>330</v>
      </c>
      <c r="C7" s="23" t="s">
        <v>331</v>
      </c>
    </row>
    <row r="8" spans="1:3" ht="29.15" x14ac:dyDescent="0.4">
      <c r="A8" s="22" t="s">
        <v>327</v>
      </c>
      <c r="B8" s="35" t="s">
        <v>332</v>
      </c>
      <c r="C8" s="23" t="s">
        <v>333</v>
      </c>
    </row>
    <row r="9" spans="1:3" ht="32.25" customHeight="1" x14ac:dyDescent="0.4">
      <c r="A9" s="22" t="s">
        <v>328</v>
      </c>
      <c r="B9" s="35" t="s">
        <v>343</v>
      </c>
      <c r="C9" s="23" t="s">
        <v>334</v>
      </c>
    </row>
    <row r="10" spans="1:3" ht="29.15" x14ac:dyDescent="0.4">
      <c r="A10" s="22" t="s">
        <v>168</v>
      </c>
      <c r="B10" s="35" t="s">
        <v>342</v>
      </c>
      <c r="C10" s="23"/>
    </row>
    <row r="11" spans="1:3" ht="58.3" x14ac:dyDescent="0.4">
      <c r="A11" s="22" t="s">
        <v>329</v>
      </c>
      <c r="B11" s="35" t="s">
        <v>340</v>
      </c>
      <c r="C11" s="23" t="s">
        <v>341</v>
      </c>
    </row>
    <row r="12" spans="1:3" ht="32.25" customHeight="1" x14ac:dyDescent="0.4">
      <c r="A12" s="22" t="s">
        <v>335</v>
      </c>
      <c r="B12" s="35" t="s">
        <v>344</v>
      </c>
      <c r="C12" s="23"/>
    </row>
    <row r="13" spans="1:3" ht="33.75" customHeight="1" x14ac:dyDescent="0.4">
      <c r="A13" s="22" t="s">
        <v>336</v>
      </c>
      <c r="B13" s="35" t="s">
        <v>345</v>
      </c>
      <c r="C13" s="23" t="s">
        <v>346</v>
      </c>
    </row>
    <row r="14" spans="1:3" ht="29.15" x14ac:dyDescent="0.4">
      <c r="A14" s="22" t="s">
        <v>337</v>
      </c>
      <c r="B14" s="35" t="s">
        <v>347</v>
      </c>
      <c r="C14" s="23" t="s">
        <v>348</v>
      </c>
    </row>
    <row r="15" spans="1:3" ht="29.15" x14ac:dyDescent="0.4">
      <c r="A15" s="22" t="s">
        <v>338</v>
      </c>
      <c r="B15" s="35" t="s">
        <v>349</v>
      </c>
      <c r="C15" s="23"/>
    </row>
    <row r="16" spans="1:3" ht="29.15" x14ac:dyDescent="0.4">
      <c r="A16" s="22" t="s">
        <v>339</v>
      </c>
      <c r="B16" s="35" t="s">
        <v>350</v>
      </c>
      <c r="C16" s="23" t="s">
        <v>351</v>
      </c>
    </row>
    <row r="17" spans="1:3" ht="32.25" customHeight="1" x14ac:dyDescent="0.4">
      <c r="A17" s="22" t="s">
        <v>352</v>
      </c>
      <c r="B17" s="35" t="s">
        <v>353</v>
      </c>
      <c r="C17" s="23" t="s">
        <v>354</v>
      </c>
    </row>
    <row r="18" spans="1:3" ht="29.15" x14ac:dyDescent="0.4">
      <c r="A18" s="22" t="s">
        <v>355</v>
      </c>
      <c r="B18" s="35" t="s">
        <v>356</v>
      </c>
      <c r="C18" s="23"/>
    </row>
    <row r="19" spans="1:3" ht="62.25" customHeight="1" x14ac:dyDescent="0.4">
      <c r="A19" s="22" t="s">
        <v>357</v>
      </c>
      <c r="B19" s="35" t="s">
        <v>358</v>
      </c>
      <c r="C19" s="23"/>
    </row>
    <row r="20" spans="1:3" ht="29.15" x14ac:dyDescent="0.4">
      <c r="A20" s="25" t="s">
        <v>359</v>
      </c>
      <c r="B20" s="36" t="s">
        <v>360</v>
      </c>
      <c r="C20" s="26" t="s">
        <v>361</v>
      </c>
    </row>
    <row r="22" spans="1:3" x14ac:dyDescent="0.4">
      <c r="A22" s="3"/>
    </row>
    <row r="23" spans="1:3" x14ac:dyDescent="0.4">
      <c r="A23" s="3"/>
    </row>
    <row r="24" spans="1:3" x14ac:dyDescent="0.4">
      <c r="A24" s="3"/>
    </row>
    <row r="25" spans="1:3" x14ac:dyDescent="0.4">
      <c r="A25" s="3"/>
    </row>
    <row r="26" spans="1:3" x14ac:dyDescent="0.4">
      <c r="A26" s="3"/>
    </row>
    <row r="27" spans="1:3" x14ac:dyDescent="0.4">
      <c r="A27" s="3"/>
    </row>
    <row r="28" spans="1:3" x14ac:dyDescent="0.4">
      <c r="A28" s="3"/>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tabColor theme="5" tint="-0.249977111117893"/>
  </sheetPr>
  <dimension ref="A1:A4"/>
  <sheetViews>
    <sheetView workbookViewId="0">
      <pane ySplit="1" topLeftCell="A2" activePane="bottomLeft" state="frozen"/>
      <selection activeCell="A8" sqref="A8"/>
      <selection pane="bottomLeft"/>
    </sheetView>
  </sheetViews>
  <sheetFormatPr baseColWidth="10" defaultColWidth="11.4609375" defaultRowHeight="14.6" x14ac:dyDescent="0.4"/>
  <cols>
    <col min="1" max="1" width="109" style="1" customWidth="1"/>
    <col min="2" max="16384" width="11.4609375" style="3"/>
  </cols>
  <sheetData>
    <row r="1" spans="1:1" ht="35.25" customHeight="1" x14ac:dyDescent="0.4">
      <c r="A1" s="90" t="s">
        <v>377</v>
      </c>
    </row>
    <row r="2" spans="1:1" x14ac:dyDescent="0.4">
      <c r="A2" s="1" t="s">
        <v>114</v>
      </c>
    </row>
    <row r="3" spans="1:1" ht="189.45" x14ac:dyDescent="0.4">
      <c r="A3" s="31" t="s">
        <v>313</v>
      </c>
    </row>
    <row r="4" spans="1:1" ht="174.9" x14ac:dyDescent="0.4">
      <c r="A4" s="32" t="s">
        <v>441</v>
      </c>
    </row>
  </sheetData>
  <sheetProtection selectLockedCells="1" selectUnlockedCells="1"/>
  <pageMargins left="0.7" right="0.7" top="0.78740157499999996" bottom="0.78740157499999996" header="0.3" footer="0.3"/>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Variation fee calculator</vt:lpstr>
      <vt:lpstr>National currencies</vt:lpstr>
      <vt:lpstr>Exchange rates</vt:lpstr>
      <vt:lpstr>HA fee websites</vt:lpstr>
      <vt:lpstr>DK</vt:lpstr>
      <vt:lpstr>ES</vt:lpstr>
      <vt:lpstr>FR</vt:lpstr>
      <vt:lpstr>IE</vt:lpstr>
      <vt:lpstr>IT</vt:lpstr>
      <vt:lpstr>LT</vt:lpstr>
      <vt:lpstr>PL</vt:lpstr>
      <vt:lpstr>PT</vt:lpstr>
      <vt:lpstr>Imprint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 Variation Fee Calculator</dc:title>
  <dc:creator/>
  <cp:lastModifiedBy>Tom Deutschle</cp:lastModifiedBy>
  <cp:lastPrinted>2020-03-04T06:49:42Z</cp:lastPrinted>
  <dcterms:created xsi:type="dcterms:W3CDTF">2015-06-05T18:19:34Z</dcterms:created>
  <dcterms:modified xsi:type="dcterms:W3CDTF">2026-02-18T09:56:27Z</dcterms:modified>
</cp:coreProperties>
</file>